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601" firstSheet="26" activeTab="32"/>
  </bookViews>
  <sheets>
    <sheet name="администр ком на 2014-2016 уточ" sheetId="1" r:id="rId1"/>
    <sheet name="Комиссия по делам несоверш уточ" sheetId="2" r:id="rId2"/>
    <sheet name="субв. поч.работник" sheetId="3" r:id="rId3"/>
    <sheet name="выезж из РКС уточн" sheetId="4" r:id="rId4"/>
    <sheet name="ЗАГС" sheetId="5" r:id="rId5"/>
    <sheet name="ВУСы" sheetId="6" r:id="rId6"/>
    <sheet name="Разв физкульт" sheetId="7" r:id="rId7"/>
    <sheet name="биб. дело" sheetId="8" r:id="rId8"/>
    <sheet name="опека-свод" sheetId="9" r:id="rId9"/>
    <sheet name="опека-минтруд" sheetId="10" r:id="rId10"/>
    <sheet name="опека-минобр" sheetId="11" r:id="rId11"/>
    <sheet name="кл. рук-во" sheetId="12" r:id="rId12"/>
    <sheet name="пед работники" sheetId="13" r:id="rId13"/>
    <sheet name="летн отдых" sheetId="14" r:id="rId14"/>
    <sheet name="мат-техн база УДО" sheetId="15" r:id="rId15"/>
    <sheet name="безопасность" sheetId="16" r:id="rId16"/>
    <sheet name="обр процесс ДОУ" sheetId="17" r:id="rId17"/>
    <sheet name="обр процесс школы" sheetId="18" r:id="rId18"/>
    <sheet name="питание" sheetId="19" r:id="rId19"/>
    <sheet name="субв категория" sheetId="20" r:id="rId20"/>
    <sheet name="капрем, укреп МТБ, присмотр ДОУ" sheetId="21" r:id="rId21"/>
    <sheet name="дети-сироты ОБ и ФБ" sheetId="22" r:id="rId22"/>
    <sheet name="жилье туберкулезники" sheetId="23" r:id="rId23"/>
    <sheet name="сельск. местн." sheetId="24" r:id="rId24"/>
    <sheet name="субс. развит.госсл." sheetId="25" r:id="rId25"/>
    <sheet name="субс. повыш.квалиф." sheetId="26" r:id="rId26"/>
    <sheet name="формир.и подготовка резерва" sheetId="27" r:id="rId27"/>
    <sheet name="дотации РФФПП" sheetId="28" r:id="rId28"/>
    <sheet name="субс.РФФПП" sheetId="29" r:id="rId29"/>
    <sheet name="дот. на выравн.МР (ГО)" sheetId="30" r:id="rId30"/>
    <sheet name="субс. КУ и ЗПЛ" sheetId="31" r:id="rId31"/>
    <sheet name="дот. на сбал." sheetId="32" r:id="rId32"/>
    <sheet name="ИНП уточн." sheetId="33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xlnm.Print_Titles" localSheetId="21">'дети-сироты ОБ и ФБ'!$6:$6</definedName>
    <definedName name="_xlnm.Print_Titles" localSheetId="22">'жилье туберкулезники'!$6:$6</definedName>
    <definedName name="_xlnm.Print_Titles" localSheetId="16">'обр процесс ДОУ'!$7:$8</definedName>
    <definedName name="_xlnm.Print_Area" localSheetId="4">'ЗАГС'!$A$1:$AR$90</definedName>
    <definedName name="_xlnm.Print_Area" localSheetId="10">'опека-минобр'!$A$1:$Z$41</definedName>
  </definedNames>
  <calcPr fullCalcOnLoad="1"/>
</workbook>
</file>

<file path=xl/comments4.xml><?xml version="1.0" encoding="utf-8"?>
<comments xmlns="http://schemas.openxmlformats.org/spreadsheetml/2006/main">
  <authors>
    <author>Nnn</author>
  </authors>
  <commentList>
    <comment ref="A6" authorId="0">
      <text>
        <r>
          <rPr>
            <b/>
            <sz val="8"/>
            <rFont val="Tahoma"/>
            <family val="2"/>
          </rPr>
          <t>Nnn:</t>
        </r>
        <r>
          <rPr>
            <sz val="8"/>
            <rFont val="Tahoma"/>
            <family val="2"/>
          </rPr>
          <t xml:space="preserve">
свыше трех тысяч граждан - 1 ставка главного специалиста и 2 ставки ведущего специалиста;
свыше одной тысячи граждан - 1 ставка главного специалиста;
менее одной тысячи граждан - 0,5 ставки главного специалиста.
Для муниципальных образований, в которых имеются населенные пункты, признанные закрывающимися по согласованию с Правительством Российской Федерации, независимо от количества граждан, состоящих на учете, предусматривается 1 ставка главного специалиста и 1 ставка ведущего специалиста.</t>
        </r>
      </text>
    </comment>
    <comment ref="A64" authorId="0">
      <text>
        <r>
          <rPr>
            <b/>
            <sz val="8"/>
            <rFont val="Tahoma"/>
            <family val="2"/>
          </rPr>
          <t>Nnn:</t>
        </r>
        <r>
          <rPr>
            <sz val="8"/>
            <rFont val="Tahoma"/>
            <family val="2"/>
          </rPr>
          <t xml:space="preserve">
5 тыс.руб - бумага, и 75
 рублей на одну семью состоящюю в очереди (одно личное учетное дело)</t>
        </r>
      </text>
    </comment>
    <comment ref="A81" authorId="0">
      <text>
        <r>
          <rPr>
            <b/>
            <sz val="8"/>
            <rFont val="Tahoma"/>
            <family val="2"/>
          </rPr>
          <t>Nnn:</t>
        </r>
        <r>
          <rPr>
            <sz val="8"/>
            <rFont val="Tahoma"/>
            <family val="2"/>
          </rPr>
          <t xml:space="preserve">
свыше трех тысяч граждан - 1 ставка главного специалиста и 2 ставки ведущего специалиста;
свыше одной тысячи граждан - 1 ставка главного специалиста;
менее одной тысячи граждан - 0,5 ставки главного специалиста.
Для муниципальных образований, в которых имеются населенные пункты, признанные закрывающимися по согласованию с Правительством Российской Федерации, независимо от количества граждан, состоящих на учете, предусматривается 1 ставка главного специалиста и 1 ставка ведущего специалиста.</t>
        </r>
      </text>
    </comment>
    <comment ref="A139" authorId="0">
      <text>
        <r>
          <rPr>
            <b/>
            <sz val="8"/>
            <rFont val="Tahoma"/>
            <family val="2"/>
          </rPr>
          <t>Nnn:</t>
        </r>
        <r>
          <rPr>
            <sz val="8"/>
            <rFont val="Tahoma"/>
            <family val="2"/>
          </rPr>
          <t xml:space="preserve">
5 тыс.руб - бумага, и 75
 рублей на одну семью состоящюю в очереди (одно личное учетное дело)</t>
        </r>
      </text>
    </comment>
    <comment ref="A156" authorId="0">
      <text>
        <r>
          <rPr>
            <b/>
            <sz val="8"/>
            <rFont val="Tahoma"/>
            <family val="2"/>
          </rPr>
          <t>Nnn:</t>
        </r>
        <r>
          <rPr>
            <sz val="8"/>
            <rFont val="Tahoma"/>
            <family val="2"/>
          </rPr>
          <t xml:space="preserve">
свыше трех тысяч граждан - 1 ставка главного специалиста и 2 ставки ведущего специалиста;
свыше одной тысячи граждан - 1 ставка главного специалиста;
менее одной тысячи граждан - 0,5 ставки главного специалиста.
Для муниципальных образований, в которых имеются населенные пункты, признанные закрывающимися по согласованию с Правительством Российской Федерации, независимо от количества граждан, состоящих на учете, предусматривается 1 ставка главного специалиста и 1 ставка ведущего специалиста.</t>
        </r>
      </text>
    </comment>
    <comment ref="A214" authorId="0">
      <text>
        <r>
          <rPr>
            <b/>
            <sz val="8"/>
            <rFont val="Tahoma"/>
            <family val="2"/>
          </rPr>
          <t>Nnn:</t>
        </r>
        <r>
          <rPr>
            <sz val="8"/>
            <rFont val="Tahoma"/>
            <family val="2"/>
          </rPr>
          <t xml:space="preserve">
5 тыс.руб - бумага, и 75
 рублей на одну семью состоящюю в очереди (одно личное учетное дело)</t>
        </r>
      </text>
    </comment>
  </commentList>
</comments>
</file>

<file path=xl/sharedStrings.xml><?xml version="1.0" encoding="utf-8"?>
<sst xmlns="http://schemas.openxmlformats.org/spreadsheetml/2006/main" count="1707" uniqueCount="740">
  <si>
    <t>Ольский район</t>
  </si>
  <si>
    <t>Северо-Эвенский район</t>
  </si>
  <si>
    <t>Всего по районам</t>
  </si>
  <si>
    <t>Среднеканский район</t>
  </si>
  <si>
    <t>(тыс. рублей)</t>
  </si>
  <si>
    <t>Вид расходов</t>
  </si>
  <si>
    <t>Пимечание</t>
  </si>
  <si>
    <t>ежемесяч. надбавка  за особые усл. до (0,6 окл./мес)</t>
  </si>
  <si>
    <t>районный коэф (70%)</t>
  </si>
  <si>
    <t>надбавка за выслугу (0,3 окл./мес)</t>
  </si>
  <si>
    <t>квалификационный разряд (чин) (1 класс старших должностей)</t>
  </si>
  <si>
    <t>премия (0,25 окл./мес)</t>
  </si>
  <si>
    <t xml:space="preserve">Начисления на ФОТ 30,2 % </t>
  </si>
  <si>
    <t>ИТОГО</t>
  </si>
  <si>
    <t>Заработная плата всех специалистов за год*</t>
  </si>
  <si>
    <t>Кол-во специалистов</t>
  </si>
  <si>
    <t>в т. ч.</t>
  </si>
  <si>
    <t>оклад (в мес)*</t>
  </si>
  <si>
    <t>ежемесяч. надбавка  за особые усл. до (до 0,6 окл./мес)</t>
  </si>
  <si>
    <t>единовременная выплата и материальная помощь при предоставлении ежегодного оплачиваемого отпуска (2окл.+ 1 окл в год)</t>
  </si>
  <si>
    <t>северная надбавка (80%)</t>
  </si>
  <si>
    <t>оклад*</t>
  </si>
  <si>
    <t>единовременная выплата и материальная помощь при предоставлении ежегодного оплачиваемого отпуска (2окл.+ 1 окл. в год)</t>
  </si>
  <si>
    <t>стоимость билетов (руб.)</t>
  </si>
  <si>
    <t>Почтовые расходы (тыс.руб)</t>
  </si>
  <si>
    <t>Оплата телефонной связи за год (тыс. руб.)</t>
  </si>
  <si>
    <t>Оплата электронной связи за год  (тыс.руб)</t>
  </si>
  <si>
    <t>Прочие расходные материалы и предметы снабжения в год (тыс.руб)</t>
  </si>
  <si>
    <t>Командировки и служебные разъезды (тыс.руб)</t>
  </si>
  <si>
    <t>Наименование муниципального образования</t>
  </si>
  <si>
    <t>Омсукчанский район</t>
  </si>
  <si>
    <t>Тенькинский район</t>
  </si>
  <si>
    <t>Хасынский район</t>
  </si>
  <si>
    <t>Ягоднинский район</t>
  </si>
  <si>
    <t>РАСЧЕТ</t>
  </si>
  <si>
    <t>Город Магадан</t>
  </si>
  <si>
    <t>Сусуманский район</t>
  </si>
  <si>
    <t>Всего:</t>
  </si>
  <si>
    <t>в том числе:</t>
  </si>
  <si>
    <t>г. Магадан</t>
  </si>
  <si>
    <t>ИТОГО:</t>
  </si>
  <si>
    <t>ВСЕГО</t>
  </si>
  <si>
    <t>Количество несовершеннолетних детей</t>
  </si>
  <si>
    <t>свыше 1500</t>
  </si>
  <si>
    <t>от 800 до 1500</t>
  </si>
  <si>
    <t>менее 800</t>
  </si>
  <si>
    <t>Численность специалистов комиссии, всего</t>
  </si>
  <si>
    <t xml:space="preserve">главный специалист </t>
  </si>
  <si>
    <t xml:space="preserve">ведущий специалист </t>
  </si>
  <si>
    <t>заведующий сектором</t>
  </si>
  <si>
    <t>заведующий сектор-заместитель председателя комиссии</t>
  </si>
  <si>
    <t>Коэффициент, учитывающий размер страховых взносов в Пенсионный фонд Российской Федерации на обязательное пенсионное страхование, Федеральный фонд обязательного медицинского страхования и территориальные фонды обязательного медицинского страхования на обязательное медицинское страхование,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а также страховых взносов на обязательное социальное страхование от несчастных случаев на производстве и профессиональных заболеваний (К1)</t>
  </si>
  <si>
    <t>Расходы на оплату коммунальных услуг с учетом площади занимаемого учреждения (V), тыс. рублей</t>
  </si>
  <si>
    <t>Оплата услуг связи, исходя из абоненской платы в месяц и дополнительных ежемесячных затрат на междугородние переговоры (С), тыс. рублей</t>
  </si>
  <si>
    <t>Объем средств на оплату прочих расходов (М), тыс. рублей</t>
  </si>
  <si>
    <t>Объем средств на приобретение материальных запасов, полученный расчетным путем с учетом количества специалистов (Р), тыс. рублей</t>
  </si>
  <si>
    <t>гор. Магадан</t>
  </si>
  <si>
    <t xml:space="preserve">Сусуманский район </t>
  </si>
  <si>
    <t xml:space="preserve">Тенькинский район </t>
  </si>
  <si>
    <t xml:space="preserve">Хасынский район </t>
  </si>
  <si>
    <t>Расходы  на содержание имущества (В), тыс. рублей</t>
  </si>
  <si>
    <t>Расходы на предоставление работникам гарантий и компенсаций, установленных статьями 168 и 325 Трудового кодекса Российской Федерации  (G),  тыс.  Рублей</t>
  </si>
  <si>
    <t>Субвенции бюджетам муниципальных образований на осуществление полномочий по первичному воинскому учету на территориях, где отсутствуют военные комиссариаты</t>
  </si>
  <si>
    <t>Размер субвенции, выделяемой Магаданской области на осуществление полномочий по первичному воинскому учету на территориях, где отсутствуют военные комиссариаты, тыс. рублей, Vmo</t>
  </si>
  <si>
    <t>Кол-во граждан, состоящих на первичном воинском учете по данным Военного комиссариата Магаданской области, чел.</t>
  </si>
  <si>
    <t>Общее кол-во ставок военно-учетных работников в органе местного самоуправления, ед., Nmo</t>
  </si>
  <si>
    <t>Кол-во ставок военно-учетных работников в органе местного самоуправления, ед., Ni</t>
  </si>
  <si>
    <t>Расчеты Размер субвенции, выделяемой бюджету i-го органа местного самоуправления на осуществ полномочий по первичному воинскому учету на территориях, где отсутствуют военные комиссариаты, тыс. рублей, Vi</t>
  </si>
  <si>
    <t>Размер субвенции, выделяемой бюджету i-го органа местного самоуправления на осуществ полномочий по первичному воинскому учету на территориях, где отсутствуют военные комиссариаты, тыс. рублей, Vi</t>
  </si>
  <si>
    <t>в т.ч.</t>
  </si>
  <si>
    <t>Городские и сельские поселения Северо-Эвенского района, всего</t>
  </si>
  <si>
    <t>п.Эвенск</t>
  </si>
  <si>
    <t>с.Гарманда</t>
  </si>
  <si>
    <t>с.Гижига</t>
  </si>
  <si>
    <t>с.Чайбуха</t>
  </si>
  <si>
    <t>с.В.Парень</t>
  </si>
  <si>
    <t>Городские и сельские поселения Сусуманского района, всего</t>
  </si>
  <si>
    <t>п.Мяунджа</t>
  </si>
  <si>
    <t>п.Холодный</t>
  </si>
  <si>
    <t>Городские и сельские поселения Тенькинского района, всего</t>
  </si>
  <si>
    <t>п.Мадаун</t>
  </si>
  <si>
    <t>п.им.Гастелло</t>
  </si>
  <si>
    <t>п.Омчак</t>
  </si>
  <si>
    <t>Городские и сельские поселения Ольского района, всего</t>
  </si>
  <si>
    <t>п.Армань</t>
  </si>
  <si>
    <t>с.Балаганное</t>
  </si>
  <si>
    <t>с.Гадля</t>
  </si>
  <si>
    <t>с.Клепка</t>
  </si>
  <si>
    <t>с.Талон</t>
  </si>
  <si>
    <t>с.Тауйск</t>
  </si>
  <si>
    <t>с.Тахтоямск</t>
  </si>
  <si>
    <t>с.Ямск</t>
  </si>
  <si>
    <t>Городские и сельские поселения Хасынского района, всего</t>
  </si>
  <si>
    <t>п.Стекольный</t>
  </si>
  <si>
    <t>п.Талая</t>
  </si>
  <si>
    <t>п.Атка</t>
  </si>
  <si>
    <t>Городские и сельские поселения Ягоднинского района, всего</t>
  </si>
  <si>
    <t>п.Синегорье</t>
  </si>
  <si>
    <t>п.Оротукан</t>
  </si>
  <si>
    <t>п.Бурхала</t>
  </si>
  <si>
    <t>п.Дебин</t>
  </si>
  <si>
    <t>МО "город Магадан"</t>
  </si>
  <si>
    <t>МО "Ольский район"</t>
  </si>
  <si>
    <t>МО "поселок Армань"</t>
  </si>
  <si>
    <t>МО "село Балаганное"</t>
  </si>
  <si>
    <t>МО  "село Гадля"</t>
  </si>
  <si>
    <t>МО "село Клепка"</t>
  </si>
  <si>
    <t>МО "село Талон"</t>
  </si>
  <si>
    <t>МО "село Тауйск"</t>
  </si>
  <si>
    <t>МО "село Тахтоямск"</t>
  </si>
  <si>
    <t>МО "село Ямск"</t>
  </si>
  <si>
    <t>МО "Северо Эвенский район"</t>
  </si>
  <si>
    <t>МО "Сусуманский район"</t>
  </si>
  <si>
    <t>Поселок Мяунджа</t>
  </si>
  <si>
    <t>Поселок Холодный</t>
  </si>
  <si>
    <t>МО "Тенькинский район"</t>
  </si>
  <si>
    <t>мо "поселок Омчак"</t>
  </si>
  <si>
    <t>МО "поселок им. Гастелло"</t>
  </si>
  <si>
    <t>МО "Хасынский район"</t>
  </si>
  <si>
    <t>МО "поселок Талая"</t>
  </si>
  <si>
    <t>МО "Ягоднинский район"</t>
  </si>
  <si>
    <t>МО "поселок Дебин"</t>
  </si>
  <si>
    <t>МО "поселок Оротукан"</t>
  </si>
  <si>
    <t>МО "поселок Синегорье"</t>
  </si>
  <si>
    <t>ежемесячное денеж поощрение (2 окл./мес)</t>
  </si>
  <si>
    <t xml:space="preserve">Итого денежное содержание главных спец.  </t>
  </si>
  <si>
    <t xml:space="preserve">Итого денежное содержание ведедущих спец.  </t>
  </si>
  <si>
    <t>Расходы по оплате стоимости проезда и провоза багажа к месту использования отпуска и обратно</t>
  </si>
  <si>
    <t>Расходы по оплате коммунальных услуг с учетом площади, занимаемого помещения</t>
  </si>
  <si>
    <t>Расходы на оплату услуг по содержанию имущества</t>
  </si>
  <si>
    <t>2014 год</t>
  </si>
  <si>
    <t>2015 год</t>
  </si>
  <si>
    <t>2016 год</t>
  </si>
  <si>
    <t>Объем субвенции муниципальному образованию (Zi), тыс. рублей</t>
  </si>
  <si>
    <t>дополнительные  средства</t>
  </si>
  <si>
    <t>Объем субвенции муниципальному образованию 2015 год</t>
  </si>
  <si>
    <t>Объем субвенции муниципальному образованию 2016 год</t>
  </si>
  <si>
    <t xml:space="preserve">Услуги на содержание имущества (В), тыс. рублей                    </t>
  </si>
  <si>
    <t xml:space="preserve">Ольский район </t>
  </si>
  <si>
    <t>тыс.руб.</t>
  </si>
  <si>
    <t xml:space="preserve"> тыс.руб.</t>
  </si>
  <si>
    <t xml:space="preserve">Расчет субсидий </t>
  </si>
  <si>
    <t xml:space="preserve"> Укрепление и развитие спортивной материально-технической базы зимних видов спорта</t>
  </si>
  <si>
    <t xml:space="preserve">Общий объем субсидий, предоставляемых бюджетам муниципальных образований в текущем году  </t>
  </si>
  <si>
    <r>
      <t>Сметная стоимость мероприятия в ценах текущего года  на 2014 год (С</t>
    </r>
    <r>
      <rPr>
        <vertAlign val="subscript"/>
        <sz val="10"/>
        <rFont val="Times New Roman"/>
        <family val="1"/>
      </rPr>
      <t>общ</t>
    </r>
    <r>
      <rPr>
        <sz val="10"/>
        <rFont val="Times New Roman"/>
        <family val="1"/>
      </rPr>
      <t>)</t>
    </r>
  </si>
  <si>
    <r>
      <t>Средства для выполнения мероприятий по укреплению и развитию спортивной материально-технической базы зимних видов спорта, предусмотренные в бюджете муниципального образования (С</t>
    </r>
    <r>
      <rPr>
        <vertAlign val="subscript"/>
        <sz val="10"/>
        <rFont val="Times New Roman"/>
        <family val="1"/>
      </rPr>
      <t>мо</t>
    </r>
    <r>
      <rPr>
        <sz val="10"/>
        <rFont val="Times New Roman"/>
        <family val="1"/>
      </rPr>
      <t>)</t>
    </r>
  </si>
  <si>
    <r>
      <t>Субсидии из областного бюджета, предоставляемой бюджету муниципального образования в очередном году (С</t>
    </r>
    <r>
      <rPr>
        <vertAlign val="subscript"/>
        <sz val="10"/>
        <rFont val="Times New Roman"/>
        <family val="1"/>
      </rPr>
      <t>обл=</t>
    </r>
    <r>
      <rPr>
        <sz val="10"/>
        <rFont val="Times New Roman"/>
        <family val="1"/>
      </rPr>
      <t>С</t>
    </r>
    <r>
      <rPr>
        <vertAlign val="subscript"/>
        <sz val="10"/>
        <rFont val="Times New Roman"/>
        <family val="1"/>
      </rPr>
      <t>общ-</t>
    </r>
    <r>
      <rPr>
        <sz val="10"/>
        <rFont val="Times New Roman"/>
        <family val="1"/>
      </rPr>
      <t>С</t>
    </r>
    <r>
      <rPr>
        <vertAlign val="subscript"/>
        <sz val="10"/>
        <rFont val="Times New Roman"/>
        <family val="1"/>
      </rPr>
      <t>мо</t>
    </r>
    <r>
      <rPr>
        <sz val="10"/>
        <rFont val="Times New Roman"/>
        <family val="1"/>
      </rPr>
      <t>) на 2015 год</t>
    </r>
  </si>
  <si>
    <r>
      <t>Субсидии из областного бюджета, предоставляемой бюджету муниципального образования в очередном году (С</t>
    </r>
    <r>
      <rPr>
        <vertAlign val="subscript"/>
        <sz val="10"/>
        <rFont val="Times New Roman"/>
        <family val="1"/>
      </rPr>
      <t>обл=</t>
    </r>
    <r>
      <rPr>
        <sz val="10"/>
        <rFont val="Times New Roman"/>
        <family val="1"/>
      </rPr>
      <t>С</t>
    </r>
    <r>
      <rPr>
        <vertAlign val="subscript"/>
        <sz val="10"/>
        <rFont val="Times New Roman"/>
        <family val="1"/>
      </rPr>
      <t>общ-</t>
    </r>
    <r>
      <rPr>
        <sz val="10"/>
        <rFont val="Times New Roman"/>
        <family val="1"/>
      </rPr>
      <t>С</t>
    </r>
    <r>
      <rPr>
        <vertAlign val="subscript"/>
        <sz val="10"/>
        <rFont val="Times New Roman"/>
        <family val="1"/>
      </rPr>
      <t>мо</t>
    </r>
    <r>
      <rPr>
        <sz val="10"/>
        <rFont val="Times New Roman"/>
        <family val="1"/>
      </rPr>
      <t>) на 2016 год</t>
    </r>
  </si>
  <si>
    <t>Смета по возмещению расходов связанных с осуществлением государственных полномочий, предусмотренных Законом  Магаданской области от 28 декабря 2009 г. № 1220-ОЗ «О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местностей»на  2015 год</t>
  </si>
  <si>
    <t>Кол-во состоящих на учете (человек) на 01.01.2014</t>
  </si>
  <si>
    <t>(человек) на 01.01.2006</t>
  </si>
  <si>
    <t>250 руб. в месяц за связь
200 руб. за переговоры</t>
  </si>
  <si>
    <t>2 командировки в год по 4 дня</t>
  </si>
  <si>
    <t>кол-во семей состоящих на учете на 01.01.2014</t>
  </si>
  <si>
    <t>Смета по возмещению расходов связанных с осуществлением государственных полномочий, предусмотренных Законом  Магаданской области от 28 декабря 2009 г. № 1220-ОЗ «О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местностей»на  2016 год</t>
  </si>
  <si>
    <t>Смета по возмещению расходов связанных с осуществлением государственных полномочий, предусмотренных Законом  Магаданской области от 28 декабря 2009 г. № 1220-ОЗ «О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местностей»на  2017 год</t>
  </si>
  <si>
    <t>на реализацию подпрограммы «Развитие государственных и муниципальных учреждений физической культуры и спорта» государственной программы Магаданской области "Развитие физической культуры, спорта и туризма в Магаданской области"  на 2015-2017 годы"</t>
  </si>
  <si>
    <r>
      <t>Субсидии из областного бюджета, предоставляемой бюджету муниципального образования в очередном году (С</t>
    </r>
    <r>
      <rPr>
        <vertAlign val="subscript"/>
        <sz val="10"/>
        <rFont val="Times New Roman"/>
        <family val="1"/>
      </rPr>
      <t>обл=</t>
    </r>
    <r>
      <rPr>
        <sz val="10"/>
        <rFont val="Times New Roman"/>
        <family val="1"/>
      </rPr>
      <t>С</t>
    </r>
    <r>
      <rPr>
        <vertAlign val="subscript"/>
        <sz val="10"/>
        <rFont val="Times New Roman"/>
        <family val="1"/>
      </rPr>
      <t>общ-</t>
    </r>
    <r>
      <rPr>
        <sz val="10"/>
        <rFont val="Times New Roman"/>
        <family val="1"/>
      </rPr>
      <t>С</t>
    </r>
    <r>
      <rPr>
        <vertAlign val="subscript"/>
        <sz val="10"/>
        <rFont val="Times New Roman"/>
        <family val="1"/>
      </rPr>
      <t>мо</t>
    </r>
    <r>
      <rPr>
        <sz val="10"/>
        <rFont val="Times New Roman"/>
        <family val="1"/>
      </rPr>
      <t>) на 2017 год</t>
    </r>
  </si>
  <si>
    <t>Наименование муниципальных образований</t>
  </si>
  <si>
    <t>2017 год</t>
  </si>
  <si>
    <t>Сумма</t>
  </si>
  <si>
    <t>число читателей</t>
  </si>
  <si>
    <t>2013 год</t>
  </si>
  <si>
    <t>город Магадан</t>
  </si>
  <si>
    <t xml:space="preserve">Расчет субвенций  на осуществление государственных полномочий по созданию и организации деятельности комиссий по делам несовершеннолетних и защите их прав в соответствии с Законом Магаданской области от 18.02.2006года № 684-ОЗ "О наделении органов местного самоуправления государственными полномочиями Магаданской области по созданию и организации деятельности комиссий по делам несовершеннолетних и защите их прав" </t>
  </si>
  <si>
    <t>Объем субвенции муниципальному образованию 2017 год</t>
  </si>
  <si>
    <t>Расчет субвенций   на осуществление государственных полномочий по созданию и организации деятельности                                                                                                                                                                                    административных комиссий в соответствии с Законом Магаданской области от 09.06.2011 N 1392-ОЗ "О наделении органов местного самоуправления государственными полномочиями Магаданской области по созданию и организации деятельности административных комиссий" на 2015 год</t>
  </si>
  <si>
    <t>А-Количество зарегистрированных актов гражданского состояния за 2013 год</t>
  </si>
  <si>
    <t xml:space="preserve">Ю-кол-во иных юр. значимых действий, соверш. органами, уполномоч произв гос. регист. актов граж. состояния за 2013 год </t>
  </si>
  <si>
    <t>ТАБЛИЦА РАСЧЕТА ОБЪЕМА СУБВЕНЦИЙ НА ОБЕСПЕЧЕНИЕ ОРГАНОВ ЗАГС  НА 2016 Г.</t>
  </si>
  <si>
    <t xml:space="preserve">2017 год </t>
  </si>
  <si>
    <t>\</t>
  </si>
  <si>
    <t>Субвенции</t>
  </si>
  <si>
    <t xml:space="preserve">на перечисление муниципальным образованиям субвенций на осуществление государственных полномочий </t>
  </si>
  <si>
    <t xml:space="preserve">по организации и осуществлению деятельности по опеке и попечительству </t>
  </si>
  <si>
    <t>тыс. рублей</t>
  </si>
  <si>
    <t>Наименование МО</t>
  </si>
  <si>
    <t>Vсi - объем субвенции, предоставляемой бюджету i-го муниципального образования 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 (далее - деятельность по опеке и попечительству совершеннолетних лиц).</t>
  </si>
  <si>
    <t>Vнi - объем субвенции, предоставляемой бюджету i-го муниципального образования на осуществление государственных полномочий по организации и осуществлению деятельности по опеке и попечительству над несовершеннолетними;</t>
  </si>
  <si>
    <t>Voi - общий объем субвенции, предоставляемой бюджету i-го муниципального образования на осуществление государственных полномочий по организации и осуществлению деятельности по опеке и попечительству</t>
  </si>
  <si>
    <t>г.Магадан</t>
  </si>
  <si>
    <t>Итого:</t>
  </si>
  <si>
    <t>Расчет субвенций</t>
  </si>
  <si>
    <t>на организацию и осуществление деятельности по опеке совершеннолетних лиц, признанных судом недееспособными вследствие психического рассторойства, а также по попечительству в отношении совершеннолетних лиц, ограниченным судом в дееспособности вследствии злоупотребления спиртными напиткамии или наркотическими средствами</t>
  </si>
  <si>
    <r>
      <t>(</t>
    </r>
    <r>
      <rPr>
        <b/>
        <u val="single"/>
        <sz val="15"/>
        <rFont val="Arial"/>
        <family val="2"/>
      </rPr>
      <t>Министерство труда и социальной политики Магаданской области)</t>
    </r>
  </si>
  <si>
    <t>численность специа-листов                                                            (чел.)</t>
  </si>
  <si>
    <t>Размер ставки специалиста</t>
  </si>
  <si>
    <t xml:space="preserve">Размер  должностного оклада </t>
  </si>
  <si>
    <r>
      <t xml:space="preserve">Сумма ежемесячных дополнительных выплат, установленных в соответствии с законодательством РФ и Магаданской области для </t>
    </r>
    <r>
      <rPr>
        <b/>
        <sz val="12"/>
        <rFont val="Times New Roman"/>
        <family val="1"/>
      </rPr>
      <t xml:space="preserve">муниципальных </t>
    </r>
    <r>
      <rPr>
        <sz val="12"/>
        <rFont val="Times New Roman"/>
        <family val="1"/>
      </rPr>
      <t>служащих (КОСГУ 211)</t>
    </r>
  </si>
  <si>
    <t>Сумма доплаты районного коэффициента  и процентной надбавки к заработной плате работников организаций, расположенных на территории Магаданской области</t>
  </si>
  <si>
    <t>Размер оплаты труда с учетом ежемесячных дополнительных выплат с учетом районного коэффициента  и процентной надбавки</t>
  </si>
  <si>
    <t>Размер оплаты труда с учетом размера занимаемой ставки</t>
  </si>
  <si>
    <t>Размер оплаты труда с учетом численности специалистов</t>
  </si>
  <si>
    <r>
      <t xml:space="preserve">Сумма страховых взносов в Пенсионный фонд РФ на обязательное пенсионное страхование, ФФ ОМС, ТРФ ОМС, ФСС, страховые взносы на обязательное социальное страхование о несчастных случаев на производстве и несчастных заболеваний; </t>
    </r>
    <r>
      <rPr>
        <b/>
        <sz val="12"/>
        <rFont val="Times New Roman"/>
        <family val="1"/>
      </rPr>
      <t>(30,2%) (КОСГУ 213)</t>
    </r>
  </si>
  <si>
    <t>Расчет годового фонда зар.платы (руб.)</t>
  </si>
  <si>
    <t>H</t>
  </si>
  <si>
    <t>Si</t>
  </si>
  <si>
    <t>О</t>
  </si>
  <si>
    <t>ОК₁</t>
  </si>
  <si>
    <t>К₂=(О+ОК₁)</t>
  </si>
  <si>
    <t xml:space="preserve"> Si</t>
  </si>
  <si>
    <t>Н</t>
  </si>
  <si>
    <t>К</t>
  </si>
  <si>
    <t>г.Магадан, в том числе</t>
  </si>
  <si>
    <t xml:space="preserve">     консультант</t>
  </si>
  <si>
    <t xml:space="preserve">     главный специалист</t>
  </si>
  <si>
    <t xml:space="preserve">     ведущий специалист</t>
  </si>
  <si>
    <t>Сумма средств на предоставление работникам гарантий и компенсаций, установленных статьями 168 и 325 ТК РФ (КОСГУ 212, 222, 226)</t>
  </si>
  <si>
    <t>Сумма средств, предусмотренная на оплату услуг связи (КОСГУ 221)</t>
  </si>
  <si>
    <t>Сумма средств, предусмотренная на оплату коммунальных услуг (КОСГУ 223)</t>
  </si>
  <si>
    <t>Сумма средств, предусмотренная на оплату услуг по содержанию имущества (КОСГУ 225)</t>
  </si>
  <si>
    <t>Сумма средств, предусмотренная на оплату прочих услуг (КОСГУ 226)</t>
  </si>
  <si>
    <t>Сумма средств, предусмотренная на приобретение основных средств (КОСГУ 310) и материальных запасов (КОСГУ 340)</t>
  </si>
  <si>
    <t>Итого годовой объём субвенции (рублей)</t>
  </si>
  <si>
    <t>Итого годовой объём субвенции (тыс. рублей) на 2015 год</t>
  </si>
  <si>
    <t>Итого годовой объём субвенции (тыс. рублей) на 2016 год</t>
  </si>
  <si>
    <t>Итого годовой объём субвенции (тыс. рублей) на 2017 год</t>
  </si>
  <si>
    <t>G</t>
  </si>
  <si>
    <t>C</t>
  </si>
  <si>
    <t>Q</t>
  </si>
  <si>
    <t>P</t>
  </si>
  <si>
    <t>M</t>
  </si>
  <si>
    <t>Z</t>
  </si>
  <si>
    <t>Vci</t>
  </si>
  <si>
    <r>
      <t xml:space="preserve">на организацию и осуществление деятельности по опеке совершеннолетних лиц, признанных судом недееспособными вследствие психического рассторойства, а также по попечительству в отношении совершеннолетних лиц, ограниченным судом в дееспособности вследствии злоупотребления спиртными напиткамии или наркотическими средствами </t>
    </r>
    <r>
      <rPr>
        <b/>
        <u val="single"/>
        <sz val="15"/>
        <rFont val="Times New Roman"/>
        <family val="1"/>
      </rPr>
      <t>(Министерство образования и молодежной политики Магаданской области)</t>
    </r>
  </si>
  <si>
    <t>Наименование районов</t>
  </si>
  <si>
    <t>Наименование должности</t>
  </si>
  <si>
    <t>N</t>
  </si>
  <si>
    <t>K1</t>
  </si>
  <si>
    <t>K2</t>
  </si>
  <si>
    <t>Итого</t>
  </si>
  <si>
    <t>И того</t>
  </si>
  <si>
    <t>K</t>
  </si>
  <si>
    <t>R</t>
  </si>
  <si>
    <t>Vнi                                        2015 год (тыс.руб.)</t>
  </si>
  <si>
    <t>Vнi                                        2016 год (тыс.руб.)</t>
  </si>
  <si>
    <t>Vнi                                        2017 год (тыс.руб.)</t>
  </si>
  <si>
    <t>размер должност-ного оклада (руб.)</t>
  </si>
  <si>
    <t xml:space="preserve">ежемесяч-ные и иные дополни-тельные выплаты </t>
  </si>
  <si>
    <t>размер р/коэф. и % надбавки (руб.)</t>
  </si>
  <si>
    <t>числен-ность специа-листов                                                            (чел.)</t>
  </si>
  <si>
    <t>в месяц</t>
  </si>
  <si>
    <t>ФОТ на 12 месяцев</t>
  </si>
  <si>
    <t>на 3 мес             (окт-дек)</t>
  </si>
  <si>
    <t>размер страховых взносов</t>
  </si>
  <si>
    <t>ФОТ с начисл-ми на январь-декабрь (руб.)</t>
  </si>
  <si>
    <t>ФОТ с начисл-ми в год (тыс.руб)</t>
  </si>
  <si>
    <t>КОСГУ 212, 222, 224, 290</t>
  </si>
  <si>
    <t>КОСГУ 221</t>
  </si>
  <si>
    <t>КОСГУ 223</t>
  </si>
  <si>
    <t>КОСГУ 225</t>
  </si>
  <si>
    <t>КОСГУ 226</t>
  </si>
  <si>
    <t>КОСГУ 310,340</t>
  </si>
  <si>
    <t>Начальник отдела</t>
  </si>
  <si>
    <t>Зам. начальника</t>
  </si>
  <si>
    <t>Главный специалист</t>
  </si>
  <si>
    <t>Ведущий специалист</t>
  </si>
  <si>
    <t>Специалист I кат.</t>
  </si>
  <si>
    <t>Водитель</t>
  </si>
  <si>
    <t>Консультант</t>
  </si>
  <si>
    <t xml:space="preserve">Расчет </t>
  </si>
  <si>
    <t>тыс. руб.</t>
  </si>
  <si>
    <t>Наименование                                                                                                         районов</t>
  </si>
  <si>
    <t>Количество обучающихся в муниципальных образовательных учреждениях (Kri), человек</t>
  </si>
  <si>
    <t>Количество обучающихся в муниципальных образовательных учреждениях, расположенных в сельской местности (Kсi), человек</t>
  </si>
  <si>
    <t>Наполняемость в классе не менее наполняемости, установленной для образовательных учреждений в соответствии с типовыми положениями об образовательных учреждениях (H), человек</t>
  </si>
  <si>
    <t>Наполняемость в классе 14 и более человек в образовательных учреждениях, расположенных в сельской местности (M), человек</t>
  </si>
  <si>
    <t>Размер ежемесячного вознаграждения за классное руководство, рублей</t>
  </si>
  <si>
    <t>Коэффициент, определяющий районный коэффициент и процентные надбавки к заработной плате за работу в районах Крайнего Севера</t>
  </si>
  <si>
    <t>Коэффициент, учитывающий размер страховых взносов в Пенсионный фонд Российской Федерации на обязательное пенсионное страхование, Федеральный фонд обязательного медицинского страхования и территориальные фонды обязательного медицинского страхования на обязательное медицинское страхование,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а также страховых взносов на обязательное социальное страхование от несчастных случаев на производстве и профессиональных заболеваний (К)</t>
  </si>
  <si>
    <t>Количество месяцев в году</t>
  </si>
  <si>
    <t>Размер субвенци (Cpi), тыс. рублей на 2015 год</t>
  </si>
  <si>
    <t>Размер субвенци (Cpi), тыс. рублей на 2016 год</t>
  </si>
  <si>
    <t>Размер субвенци (Cpi), тыс. рублей на 2017 год</t>
  </si>
  <si>
    <t xml:space="preserve">РАСЧЕТ </t>
  </si>
  <si>
    <t>ФОТ на 01.08.09 в месяц</t>
  </si>
  <si>
    <t>Численность педагогических работников (Ni), человек</t>
  </si>
  <si>
    <t>Доплата (r),                     тыс. рублей</t>
  </si>
  <si>
    <t>Коэффициент, учитывающий размер страховых взносов в Пенсионный фонд Российской Федерации на обязательное пенсионное страхование, Федеральный фонд обязательного медицинского страхования и территориальные фонды обязательного медицинского страхования на обязательное медицинское страхование,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а также страховых взносов на обязательное социальное страхование от несчастных случаев на производстве и профессиональных заболеваний (t)</t>
  </si>
  <si>
    <t xml:space="preserve">Количество месяцев в году </t>
  </si>
  <si>
    <t>Объем субвенции (Si), тыс. рублей на 2015 год</t>
  </si>
  <si>
    <t>Объем субвенции (Si), тыс. рублей на 2016 год</t>
  </si>
  <si>
    <t>Объем субвенции (Si), тыс. рублей на 2017 год</t>
  </si>
  <si>
    <t>Наименование района</t>
  </si>
  <si>
    <t>Лагеря дневного пребывания</t>
  </si>
  <si>
    <t>Лагеря труда и отдыха, профильные лагеря</t>
  </si>
  <si>
    <t>Однодневные походы</t>
  </si>
  <si>
    <t>Всего расходов          (руб.)</t>
  </si>
  <si>
    <t>Объем субсидии на организацию отдыха детей в каникулярное время (S), кроме кап.ремонта тыс. рублей</t>
  </si>
  <si>
    <t>Общий объем субсидии на организацию отдыха детей в каникулярное время, тыс. рублей на 2015 год</t>
  </si>
  <si>
    <t>Общий объем субсидии на организацию отдыха детей в каникулярное время, тыс. рублей на 2016 год</t>
  </si>
  <si>
    <t>Общий объем субсидии на организацию отдыха детей в каникулярное время, тыс. рублей на 2017 год</t>
  </si>
  <si>
    <t>Ст-ть питания одного дня пребывания (с), рублей</t>
  </si>
  <si>
    <t>Чис-ть детей  в 1 смену (k1)</t>
  </si>
  <si>
    <t>Чис-ть детей  во 2 смену (k1)</t>
  </si>
  <si>
    <t>Коли-чество дней одну смену (n)</t>
  </si>
  <si>
    <t>Итого расходов           в  1 смену (руб.)</t>
  </si>
  <si>
    <t>Итого расходов во 2 смену (руб.)</t>
  </si>
  <si>
    <t>Расходы на оплату путевок в лагеря с дневным пребыванием (D), тыс. руб.</t>
  </si>
  <si>
    <t>Ст-ть питания одного дня пребывания (с1), рублей</t>
  </si>
  <si>
    <t>Кол-во дней в одну смену (n1)</t>
  </si>
  <si>
    <t>Расходы на оплату путевок в лагеря труда и отдыха, профильные лагеря (T), тыс. рублей</t>
  </si>
  <si>
    <t>Всего детей</t>
  </si>
  <si>
    <t>Ст-ть питания 1 дня пребы-вания</t>
  </si>
  <si>
    <t>Стоимость питания одного дня пребывания (с), рублей</t>
  </si>
  <si>
    <t>Числоенность детей в 1 смену (k)</t>
  </si>
  <si>
    <t>Числоенность детей во 2 смену (k)</t>
  </si>
  <si>
    <t>Расходы на оплату путевок в однодневные походы (p), тыс. рублей</t>
  </si>
  <si>
    <t>Количество учреждений дополнительного образования</t>
  </si>
  <si>
    <t>п. 4.1. Укрепление материально-технической базы учреждений дополнительного образования</t>
  </si>
  <si>
    <t>Общий объем субсидий, предоставляемых бюджетам муниципальных образований в текущем году (S)</t>
  </si>
  <si>
    <t>Общая потребность средств на укрепление материально-технической базы  учреждений дополнительного образования (P)</t>
  </si>
  <si>
    <t>Потребность средств на укрепление материально-технической базы образовательных учреждений дополнительного образования муниципального образования (РМО)</t>
  </si>
  <si>
    <t>Субсидии из областного бюджета, предоставляемой бюджету муниципального образования в очередном году (S) на 2015 год</t>
  </si>
  <si>
    <t xml:space="preserve">Субсидии из областного бюджета, предоставляемой бюджету муниципального образования в очередном году (S) на 2016 год </t>
  </si>
  <si>
    <t xml:space="preserve">Субсидии из областного бюджета, предоставляемой бюджету муниципального образования в очередном году (S) на 2017 год </t>
  </si>
  <si>
    <t>ед.</t>
  </si>
  <si>
    <t xml:space="preserve">п. 4.1. Повышение уровня анитеррористиской защищенности образовательных </t>
  </si>
  <si>
    <t>Общая потребность средств на установку ограждения территории образовательных учреждений (P)</t>
  </si>
  <si>
    <t>Потребность средств на установку огражджения территории образовательного учреждения муниципального образования (РМО)</t>
  </si>
  <si>
    <t>Субсидии из областного бюджета, предоставляемой бюджету муниципального образования в очередном году (S) на 2016 год</t>
  </si>
  <si>
    <t>Субсидии из областного бюджета, предоставляемой бюджету муниципального образования в очередном году (S) на 2017 год</t>
  </si>
  <si>
    <t xml:space="preserve">Вид образовательной организации, реализующей программы дошкольного образования </t>
  </si>
  <si>
    <t>Числен-ность воспитанников</t>
  </si>
  <si>
    <t>Норматив на оплату труда административного персонала на одного воспитанника, руб.</t>
  </si>
  <si>
    <t xml:space="preserve">Норматив на оплату труда пед. персонала на одного воспитанника, руб. </t>
  </si>
  <si>
    <t>Норматив на оплату труда учебно-воспит. персонала на одного воспитанника, руб.</t>
  </si>
  <si>
    <t>Норматив на оплату труда служащих на одного воспитан-ника, руб.</t>
  </si>
  <si>
    <t>Норматив на оплату труда медицинских работников на одного воспитанника, руб.</t>
  </si>
  <si>
    <t>Норматив на оплату труда профессии рабочих на одного воспитанника, руб.</t>
  </si>
  <si>
    <t>Норматив на приобретение книгоиздательской продукции, руб.</t>
  </si>
  <si>
    <t>Норматив фонда оплаты труда на одного воспитан-ника, тыс. руб.</t>
  </si>
  <si>
    <t>Норматив фонда мат. обеспечения  на одного воспитанника, тыс.руб.</t>
  </si>
  <si>
    <t>Нормативный фонд оплаты труда (НФОТ), тыс. рублей</t>
  </si>
  <si>
    <t>Нормативный фонд мат. обеспечения (ФМО), тыс. рублей</t>
  </si>
  <si>
    <t>Размер субвенци (РНБФ), тыс. рублей на 2015 год</t>
  </si>
  <si>
    <t>Размер субвенци (РНБФ, тыс. рублей на 2016 год</t>
  </si>
  <si>
    <t>Размер субвенци (РНБФ), тыс. рублей на 2017 год</t>
  </si>
  <si>
    <t>Муниципальное образование "Город Магадан"</t>
  </si>
  <si>
    <t>всего</t>
  </si>
  <si>
    <t xml:space="preserve">общеразвивающей и комбинированной направленности </t>
  </si>
  <si>
    <t>компенсирующей и оздоровительной направленности</t>
  </si>
  <si>
    <t>общеразвивающей и комбинированной направленности в сельской местности</t>
  </si>
  <si>
    <t>(тыс.рублей)</t>
  </si>
  <si>
    <t>Общий фонд заработной платы на ставку (ОФЗП), тыс. рублей</t>
  </si>
  <si>
    <t>Количество ставок из расчета на одного обучающегося (Кс)</t>
  </si>
  <si>
    <t>Нормативный фонд заработной платы на одного учащегося (НФЗП), тыс. рублей</t>
  </si>
  <si>
    <t>Начисления на заработную плату (Нч), тыс. рублей</t>
  </si>
  <si>
    <t>Фонд материального обеспечения (ФМО), тыс. рублей</t>
  </si>
  <si>
    <t>Численность обучающихся на 2011 год</t>
  </si>
  <si>
    <t>ФОТ на 01.08.10 в месяц</t>
  </si>
  <si>
    <t>ФОТ на 01.09.10 в месяц (с учетом повышения на 3% с 01.06.2011)</t>
  </si>
  <si>
    <t>ФОТ на 2011 г.                   (гр.2*5 +гр.3*7)</t>
  </si>
  <si>
    <t>ФМО на 01.02.08 в месяц</t>
  </si>
  <si>
    <t>ФМО на 02.08 в месяц 1.084 (гр.1*1.084)</t>
  </si>
  <si>
    <t>ФМО на 2009 (гр.4*12)</t>
  </si>
  <si>
    <t xml:space="preserve">ФМО  на 2011 год </t>
  </si>
  <si>
    <t>Всего                                      на 2011 год</t>
  </si>
  <si>
    <t xml:space="preserve"> </t>
  </si>
  <si>
    <t>Размер компенсации расходов на питание учащихся в день (р), руб.</t>
  </si>
  <si>
    <t>Численность учащихся (n), человек</t>
  </si>
  <si>
    <t xml:space="preserve">в т.ч. численность учащихся </t>
  </si>
  <si>
    <t>Количество учебных дней в году (d)</t>
  </si>
  <si>
    <t>Всего расходов, тыс. руб.</t>
  </si>
  <si>
    <t>1 - 4  кл.</t>
  </si>
  <si>
    <t>5 - 11  кл.</t>
  </si>
  <si>
    <t xml:space="preserve">ст.8 Закона Магаданской области "Об образовании в Магаданской области" </t>
  </si>
  <si>
    <t>Размер субвенций (Si), тыс. рублей на 2015 год</t>
  </si>
  <si>
    <t>Единовременное пособие педагогическим работникам при выходе на пенсию</t>
  </si>
  <si>
    <t>Единовременное пособие молодому специалисту</t>
  </si>
  <si>
    <t>Доплата за квалификационную категорию педагогическим работникам</t>
  </si>
  <si>
    <t>Доплата за звание "Почетный работник"</t>
  </si>
  <si>
    <t>Доплата педагогическим работникам высшие или средние профессиональные учреждения с отличием</t>
  </si>
  <si>
    <t>Доплата педагогическим работникам высшие или средние профессиональные учреждения</t>
  </si>
  <si>
    <t>Доплата лицам, замещающим  должности "библиотекарь", "заведующий библиотекой"</t>
  </si>
  <si>
    <t>Доплата лицам, замещающим должности медицинского персонала</t>
  </si>
  <si>
    <t>Численность педагогических работников, выходящих на пенсию (Ni), человек</t>
  </si>
  <si>
    <t>Средняя месячная заработная плата работников (p), тыс. рублей</t>
  </si>
  <si>
    <t>Объем субвенции (S1i), тыс. рублей</t>
  </si>
  <si>
    <t>Численность молодых специалистов (Ni), человек</t>
  </si>
  <si>
    <t>Пособие (k), тыс. рублей</t>
  </si>
  <si>
    <t>Коэффициент, учитывающий размер страховых взносов в Пенсионный фонд РФ на обязательное пенсионное страхование, ФФОМС и ТФОМС на обязательное медицинское страхование, ФСС РФ на обязательное соц. страхование на случай временной нетрудоспособности и в связи с материнством, а также страховых взносов на обязательное социальное страхование от несчастных случаев на произв-ве и професс-ых заболеваний (t)</t>
  </si>
  <si>
    <t>Объем субвенции (S2i), тыс. рублей</t>
  </si>
  <si>
    <t>Численность педагогических работников, имеющих высшую квалификационную категорию (Ni1), человек</t>
  </si>
  <si>
    <t>Численность педагогических работников, имеющих первую квалификационную категорию (Ni2), человек</t>
  </si>
  <si>
    <t>Численность педагогических работников, имеющих вторую квалификационную категорию (Ni3), человек</t>
  </si>
  <si>
    <t>Доплата за высшую категорию (q1), тыс. рублей</t>
  </si>
  <si>
    <t>Доплата за первую категорию (q2), тыс. рублей</t>
  </si>
  <si>
    <t>Доплата за вторую категорию (q3), тыс. рублей</t>
  </si>
  <si>
    <t>Объем субвенции (S3i), тыс. рублей</t>
  </si>
  <si>
    <t>Доплата (h), тыс. рублей</t>
  </si>
  <si>
    <t>Коэффициент, учитывающий размер страховых взносов в Пенсионный фонд РФ на обязательное пенсионное страхование, ФФОМС и ТФОМС на обязательное медицинское страхование, Фонд социального страхования РФ на обязательное социальное страхование на случай временной нетрудоспособности и в связи с материнством, а также страховых взносов на обязательное социальное страхование от несчастных случаев на производстве и профессиональных заболеваний (t)</t>
  </si>
  <si>
    <t>Объем субвенции (S4i), тыс. рублей</t>
  </si>
  <si>
    <t>Численность педагогических работников, окончивших высшее/среднее профессиональное образование с отличием (Ni), человек</t>
  </si>
  <si>
    <t>Объем субвенции (S5i), тыс. рублей</t>
  </si>
  <si>
    <t>Объем субвенции (S6i), тыс. рублей</t>
  </si>
  <si>
    <t>Численность библиотечных работников, замещающих должности "библиотекарь" (Ni1), человек</t>
  </si>
  <si>
    <t>Численность библиотечных работников, замещающих должности "заведующий библиотекой" (Ni2), человек</t>
  </si>
  <si>
    <t>Доплата лицам, замещающих должность "библиотекарь" (h1), тыс. рублей</t>
  </si>
  <si>
    <t>Доплата лицам, замещающих должность "заведующий библиотекой" (h2), тыс. рублей</t>
  </si>
  <si>
    <t>Объем субвенции (S7i), тыс. рублей</t>
  </si>
  <si>
    <t>Численность медицинских работников, замещиющих должности младшего медицинского персонала (Ni1), человек</t>
  </si>
  <si>
    <t>Численность медицинских работников, замещиющих должности среднего медицинского персонала (Ni2), человек</t>
  </si>
  <si>
    <t>Численность медицинских работников, замещиющих должности врачебного персонала (Ni3), человек</t>
  </si>
  <si>
    <t>Доплата лицам, замещающих должности младшего мед. персонала (h1), тыс. рублей</t>
  </si>
  <si>
    <t>Доплата лицам, замещающих должности среднего мед. персонала (h2), тыс. рублей</t>
  </si>
  <si>
    <t>Доплата лицам, замещающих должности врачебного персонала (h3), тыс. рублей</t>
  </si>
  <si>
    <t>Коэффициент, учитывающий размер страховых взносов в Пенсионный фонд РФ на обязательное пенсионное страхование, ФФОМС и ТФОМС на обязательное медицинское страхование, ФСС РФ на обязательное соц. страхование на случай временной нетрудоспособности и в связи с материнством, а также страховых взносов на обязательное соц. страхование от несчастных случаев на произв-ве и професс-ых заболеваний (t)</t>
  </si>
  <si>
    <t>Кол-во месяцев в году</t>
  </si>
  <si>
    <t>Объем субвенции (S8i), тыс. рублей</t>
  </si>
  <si>
    <t>15</t>
  </si>
  <si>
    <t>0,597</t>
  </si>
  <si>
    <t>2,5</t>
  </si>
  <si>
    <t>1,302</t>
  </si>
  <si>
    <t>25</t>
  </si>
  <si>
    <t>0,299</t>
  </si>
  <si>
    <t>1,342</t>
  </si>
  <si>
    <t>1</t>
  </si>
  <si>
    <t>3</t>
  </si>
  <si>
    <t>0</t>
  </si>
  <si>
    <t>2,7</t>
  </si>
  <si>
    <t>2</t>
  </si>
  <si>
    <t>5</t>
  </si>
  <si>
    <t>39 / 10</t>
  </si>
  <si>
    <t>на реализацию реализацию подпрограммы "Повышение качества и доступности дошкольного образования в Магаданской области" на 2014-20120 годы" государственной программы Магаданской области "Развитие образования Магаданской области" на 2014-2020 годы"</t>
  </si>
  <si>
    <t>Основное мероприятие 1. Реконструкция зданий дошкольных и других образовательных учрежденийучреждений (S1)</t>
  </si>
  <si>
    <t>Объем средств, необходимый  i-му муниципальному образованию по заявке на основании утвержденной проектной (сметной) документации (Oi)</t>
  </si>
  <si>
    <t>Общий объем средств, необходимый муниципальным образованиям по заявке(0)</t>
  </si>
  <si>
    <t>уровень софинансирования расходного обязательства муниципального образования за счет субсидии</t>
  </si>
  <si>
    <t>итого:</t>
  </si>
  <si>
    <t>Общая потребность средств на укрепление материально-технической базы  дошкольных образовтельных учреждений                (P)</t>
  </si>
  <si>
    <t>Потребность средств на укрепление материально-технической базы дошкольных образовательных учреждений муниципального образования (РМО)</t>
  </si>
  <si>
    <t>Показатели</t>
  </si>
  <si>
    <t>Средства областного бюджета, тыс. руб.</t>
  </si>
  <si>
    <t>численность детей - сирот, чел.</t>
  </si>
  <si>
    <t>администрирование</t>
  </si>
  <si>
    <t>приобретение жилья</t>
  </si>
  <si>
    <t xml:space="preserve">в том числе по муниципальным образованиям: </t>
  </si>
  <si>
    <t xml:space="preserve"> Г. Магадан - всего, тыс. руб.</t>
  </si>
  <si>
    <t>численность детей-сирот</t>
  </si>
  <si>
    <t>норма предоставления жилья, кв.м.</t>
  </si>
  <si>
    <t>расчетная норма жилья, кв.м.</t>
  </si>
  <si>
    <t>стоимость 1 кв.м., тыс. руб.</t>
  </si>
  <si>
    <t>администрирование 1 чел., тыс. руб.</t>
  </si>
  <si>
    <t>Районы - всего</t>
  </si>
  <si>
    <t>Ольский район - всего</t>
  </si>
  <si>
    <t>Северо - Эвенский район- всего</t>
  </si>
  <si>
    <t>Среднеканский район- всего</t>
  </si>
  <si>
    <t>Сусуманский район - всего</t>
  </si>
  <si>
    <t>Тенькинский район - всего</t>
  </si>
  <si>
    <t>Хасынский район - всего</t>
  </si>
  <si>
    <t>Ягоднинский район - всего</t>
  </si>
  <si>
    <t xml:space="preserve">на реализацию подпрограммы «Обеспечение жилыми помещениями детей – сирот и детей, оставшихся без попечения родителей, лиц из числа детей-сирот и детей, оставшихся без попечения родителей, в Магаданской области» на 2014-2020 годы» государственной программы Магаданской области "Развитие образования в Магаданской области" на 2014-2020 годы"
</t>
  </si>
  <si>
    <t xml:space="preserve">Расчет средств </t>
  </si>
  <si>
    <t>Расчет средств</t>
  </si>
  <si>
    <t xml:space="preserve"> Город  Магадан - всего, тыс. руб.</t>
  </si>
  <si>
    <t>Омсукчанский городской округ - всего</t>
  </si>
  <si>
    <t xml:space="preserve"> Город Магадан - всего, тыс. руб.</t>
  </si>
  <si>
    <r>
      <t xml:space="preserve">1. Расчет объема субвенций для обеспечения жильем детей - сирот и детей, оставшихся без попечения родителей, лиц из числа детей-сирот и детей, оставшихся без попечения родителей, </t>
    </r>
    <r>
      <rPr>
        <b/>
        <u val="single"/>
        <sz val="12"/>
        <color indexed="8"/>
        <rFont val="Times New Roman"/>
        <family val="1"/>
      </rPr>
      <t>за счет средств областного бюджета</t>
    </r>
  </si>
  <si>
    <r>
      <t xml:space="preserve">2. Расчет объема субвенций для обеспечения жильем детей - сирот и детей, оставшихся без попечения родителей, лиц из числа детей-сирот и детей, оставшихся без попечения родителей, </t>
    </r>
    <r>
      <rPr>
        <b/>
        <u val="single"/>
        <sz val="12"/>
        <color indexed="8"/>
        <rFont val="Times New Roman"/>
        <family val="1"/>
      </rPr>
      <t>за счет средств федерального бюджета</t>
    </r>
  </si>
  <si>
    <t>численность больных, чел.</t>
  </si>
  <si>
    <t>субвенций на осуществление государственных полномочий по обеспечению отдельных категорий граждан жилыми помещениями</t>
  </si>
  <si>
    <t>Объем субвенций на обеспечение жильем лиц, страдающих заразными формами туберкулеза</t>
  </si>
  <si>
    <t>Расчет</t>
  </si>
  <si>
    <t>иных межбюджетных трансфертов бюджетам муниципальных образований</t>
  </si>
  <si>
    <t>на возмещение расходов по предоставлению мер социальной поддержки</t>
  </si>
  <si>
    <t>по оплате жилья  и коммунальных услуг отдельным категориям граждан,</t>
  </si>
  <si>
    <t>Муниципальные образования</t>
  </si>
  <si>
    <t>Численность граждан, имеющих право на получение мер социальной поддержки по оплате жилья и коммунальных услуг  (чел.)</t>
  </si>
  <si>
    <t>Средняя площадь на 1-го человека (кв.м.)</t>
  </si>
  <si>
    <t>Площадь жилья, занимаемая получателеми  мер социальной поддержке по муниципальному образованию</t>
  </si>
  <si>
    <t>Прогнозный тариф жилищных (найм,содержание и ремонт жилья) и коммунальных (отопление, освещение) услуг на 1 кв.м общей площади жилья в месяц (руб.)</t>
  </si>
  <si>
    <t>Количество месяцев</t>
  </si>
  <si>
    <t>Общий объем иных  межбюджетных трансфертов  (тыс.руб.)</t>
  </si>
  <si>
    <t>Хасынский р-н</t>
  </si>
  <si>
    <t>гл. специалист  (кол-во ставок) (с января по декабрь)</t>
  </si>
  <si>
    <t>вед. специалист (кол-во ставок) (с января по декабрь)</t>
  </si>
  <si>
    <t>Кол-во состоящих на учете (человек) на 01.01.2013</t>
  </si>
  <si>
    <t>Среднеканский городской  округ</t>
  </si>
  <si>
    <t>Омсукчанский городской округ</t>
  </si>
  <si>
    <t>Омсукчанский  городской  округ</t>
  </si>
  <si>
    <t>Омсукчанский  городской  округ,  всего</t>
  </si>
  <si>
    <t>Среднеканский  городской  округ,  всего</t>
  </si>
  <si>
    <t>Омсукчанский городской  округ</t>
  </si>
  <si>
    <t>МО "Омсукчанский городской округ"</t>
  </si>
  <si>
    <t>МО "Среднеканский городской округ"</t>
  </si>
  <si>
    <t>ТАБЛИЦА РАСЧЕТА ОБЪЕМА СУБВЕНЦИЙ НА ОБЕСПЕЧЕНИЕ ОРГАНОВ ЗАГС  НА 2015 Г.</t>
  </si>
  <si>
    <t>ТАБЛИЦА РАСЧЕТА ОБЪЕМА СУБВЕНЦИЙ НА ОБЕСПЕЧЕНИЕ ОРГАНОВ ЗАГС  НА 2017 Г.</t>
  </si>
  <si>
    <t>на 2015 год</t>
  </si>
  <si>
    <t>Долностной оклад (N), тыс. рублей</t>
  </si>
  <si>
    <t>Коэффициент, устанавливающий ежемесячные и иные дополнительные выплаты, установленные в соответствии с законодательством Российской Федерации, законодательством Магаданской области и нормативными правовыми актами органов местного самоуправления для муниципальных служащих, а также размер районного коэффициента и процентной надбавки к заработной плате работников организаций, расположенных на территории Магаданской области (К)</t>
  </si>
  <si>
    <t>Расходы на предоставление работникам гарантий и компенсаций, установленных статьями 168 и 325 Трудового кодекса Российской Федерации (G), тыс. рублей</t>
  </si>
  <si>
    <t xml:space="preserve">Омсукчанский район </t>
  </si>
  <si>
    <t>Количество ставок специалистов административной комиссии ( R )</t>
  </si>
  <si>
    <t>Должностной оклад, предусмотренный законодательством и соответствующий ставке ведущего специалиста (N)</t>
  </si>
  <si>
    <t>Коэффициент, учитывающий выплаты ежемесячных надбавок, надбавок за выслугу лет, классный чин и премию муниципальных служащих, предусмотренный действующим законодательством (K1)</t>
  </si>
  <si>
    <t>Коэффициент, учитывающий размер районного коэффициента и процентной надбавки к заработной плате за работу в районах Крайнего Севера (К2)</t>
  </si>
  <si>
    <t>Страховые взносы в Пенсионный фонд Российской Федерации, Фонд социального страхования Российской Федерации, Федеральный фонд обязательного медицинского страхования, предусмотренные действующим законодательством (L)</t>
  </si>
  <si>
    <t xml:space="preserve">субвенций бюджетам муниципальных образований на финансовое обеспечение муниципальных дошкольных организаций </t>
  </si>
  <si>
    <t xml:space="preserve">в рамках подпрограммы "Управление  развитием отрасли образования в Магаданской области" на 2014-2020 годы" </t>
  </si>
  <si>
    <t>государственной программы Магаданской области "Развитие образования в Магаданской области" на 2014-2020 годы"</t>
  </si>
  <si>
    <t>Среднеканский городской округ</t>
  </si>
  <si>
    <t>субвенций  на финансирование муниципальных общеобразовательных учреждений в части реализации ими государственного</t>
  </si>
  <si>
    <t xml:space="preserve">стандарта общего образования в рамках подпрограммы "Управление  развитием отрасли образования в Магаданской </t>
  </si>
  <si>
    <t xml:space="preserve">области" на 2014-2020 годы" государственной программы Магаданской области "Развитие образования в Магаданской области" </t>
  </si>
  <si>
    <t>на 2014-2020 годы"</t>
  </si>
  <si>
    <t>субсидий бюджетам муниципальных образований на повышение уровня антитеррористической защищенности образовательных организаций в рамках подпрограммы «Безопасность образовательных учреждений в Магаданской области» на 2014-2020 годы» государственной программы Магаданской области "Развитие образования в Магаданской области на 2014-2020 годы"</t>
  </si>
  <si>
    <t xml:space="preserve">субсидий бюджетам муниципальных образований на организацию отдыха и оздоровление детей в лагерях дневного пребывания </t>
  </si>
  <si>
    <t>в рамках подпрограммы "Организация и обеспечение отдыха и оздоровление детей в Магаданской области" на 2014-2020 годы" государственной программы Магаданской области "Развитие образования в Магаданской области" на 2014-2020 годы</t>
  </si>
  <si>
    <t>субсидий бюджетам муниципальных образований на укрепление материально-технической базы организаций дополнительного образования в рамках реализации подпрограммы «Развитие дополнительного образования в Магаданской области» на 2014-2020 годы» государственной программы "Развитие образования в Магаданской области" на 1014-2020 годы"</t>
  </si>
  <si>
    <t>Субсидии из областного бюджета, предоставляемые бюджету муниципального образования в 2015 году</t>
  </si>
  <si>
    <t>Субсидии из областного бюджета, предоставляемые бюджету муниципального образования в 2016 году</t>
  </si>
  <si>
    <t>Субсидии из областного бюджета, предоставляемые бюджету муниципального образования в 2017 году</t>
  </si>
  <si>
    <t>Субсидии бюджетам муниципальных образований на осуществление мероприятий по реконструкции и капитальному ремонту дошкольных и других образовательных организаций (S1, S2)</t>
  </si>
  <si>
    <t>Субсидии бюджетам муниципальных образований на укрепление материально-технической базы дошкольных образовательных организаций (S3)</t>
  </si>
  <si>
    <t>Субсидии бюджетам муниципальных образований на частичное возмещение расходов по присмотру и уходу за детьми с ограниченными возможностями здоровья, обучающимися в дошкольных образовательных организациях (S4)</t>
  </si>
  <si>
    <t>Среднее количество дней посещений в год</t>
  </si>
  <si>
    <t>Средний размер родительской платы, установленный в Магаданской области в 2014 году (рублей)</t>
  </si>
  <si>
    <t>Количество детей с ограниченными возможностями здоровья, обучающихся в дошкольных образовательных организациях (человек)</t>
  </si>
  <si>
    <t>субсидий бюджетам муниципальных образований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</si>
  <si>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Размер субсидии          на 2015 год</t>
  </si>
  <si>
    <t>Размер субсидии          на 2016 год</t>
  </si>
  <si>
    <t>Размер субсидии          на 2017 год</t>
  </si>
  <si>
    <t>субвенций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</t>
  </si>
  <si>
    <t>субвенций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</t>
  </si>
  <si>
    <t xml:space="preserve"> субвенций на ежемесячное денежное вознаграждение за  классное руководство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</t>
  </si>
  <si>
    <t xml:space="preserve">Распределение субсидий бюджетам муниципальных образований на реализацию мероприятий подпрограммы "Развитие библиотечного дела в Магаданской области" на 2014-2020 годы" государственной программы Магаданской области "Развитие культуры в Магаданской области" на 2014-2020 годы", на 2015- 2017 гг. </t>
  </si>
  <si>
    <t>Кi   средний  коэффициент  сложности   регистрированных  действий</t>
  </si>
  <si>
    <t xml:space="preserve">Кia </t>
  </si>
  <si>
    <t>Кiю</t>
  </si>
  <si>
    <t>Ар</t>
  </si>
  <si>
    <t>Аб</t>
  </si>
  <si>
    <t>Арб</t>
  </si>
  <si>
    <t>Ау</t>
  </si>
  <si>
    <t>Ауо</t>
  </si>
  <si>
    <t>Апи</t>
  </si>
  <si>
    <t xml:space="preserve">Ас </t>
  </si>
  <si>
    <t xml:space="preserve">Юрзпр </t>
  </si>
  <si>
    <t xml:space="preserve">Ювизм </t>
  </si>
  <si>
    <t>Юан</t>
  </si>
  <si>
    <t>Юповт</t>
  </si>
  <si>
    <t>Юспр</t>
  </si>
  <si>
    <t>Юистр</t>
  </si>
  <si>
    <t>Юдрб</t>
  </si>
  <si>
    <t>Юап</t>
  </si>
  <si>
    <t>Юотк</t>
  </si>
  <si>
    <t>Юотм</t>
  </si>
  <si>
    <t>Кр</t>
  </si>
  <si>
    <t>Кб</t>
  </si>
  <si>
    <t>Крб</t>
  </si>
  <si>
    <t>Ку</t>
  </si>
  <si>
    <t>Куо</t>
  </si>
  <si>
    <t xml:space="preserve">Кпи </t>
  </si>
  <si>
    <t>Кс</t>
  </si>
  <si>
    <t>Крзпр</t>
  </si>
  <si>
    <t xml:space="preserve">Квизм </t>
  </si>
  <si>
    <t>Кан</t>
  </si>
  <si>
    <t>Кповт</t>
  </si>
  <si>
    <t>Кспр</t>
  </si>
  <si>
    <t>Кистр</t>
  </si>
  <si>
    <t xml:space="preserve">Кдрб </t>
  </si>
  <si>
    <t>Кап</t>
  </si>
  <si>
    <t>КОТК</t>
  </si>
  <si>
    <t xml:space="preserve">Котм </t>
  </si>
  <si>
    <t>Ai                        Общее  количество  регистрированных   актов  гражданского  состояния  и  юридически   значимых  действий</t>
  </si>
  <si>
    <t>Ki                         средний коэффициент сложности актов  гражданского  состояния  и  юридически   значимых  действий</t>
  </si>
  <si>
    <t>Hi                     средний норматив финансовых затрат               (руб.)</t>
  </si>
  <si>
    <t>Сi                     Размер субвенций на 2015 г.       (тыс.руб)</t>
  </si>
  <si>
    <t>Сi                     Размер субвенций на 2016 г.       (тыс.руб)</t>
  </si>
  <si>
    <t>Сi                     Размер субвенций на 2017 г.       (тыс.руб)</t>
  </si>
  <si>
    <t xml:space="preserve">Расчет объема субвенций по выплате ежемесячной надбавки к окладу, работникам муниципальных учреждений, которым присвоено почетное звание в сфере культуры с соответствии с Законом Магаданской области от 12.03.2010 N 1244-ОЗ (ред. от 28.12.2011) "О наделении органов местного самоуправления государственными полномочиями Магаданской области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культуры" </t>
  </si>
  <si>
    <t>Нименование  МО</t>
  </si>
  <si>
    <t>сумма окладов работников муниципальных учреждений культуры i-го муниципального образования, которым присвоено звание "Почетный работник культуры Магаданской области"</t>
  </si>
  <si>
    <t>коэффициент, учитывающий размер районного коэффициента к заработной плате работников организаций, расположенных на территории Магаданской области</t>
  </si>
  <si>
    <t>коэффициент, учитывающий размер процентной надбавки к заработной плате работников организаций, расположенных на территории Магаданской области</t>
  </si>
  <si>
    <t>коэффициент, учитывающий размер страховых взносов в Пенсионный фонд Российской Федерации на обязательное пенсионное страхование, Федеральный фонд обязательного медицинского страхования и территориальные фонды обязательного медицинского страхования на обязательное медицинское страхование,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а также страховых взносов на обязательное социальное страхование от несчастных случаев на производстве и профессиональных заболеваний</t>
  </si>
  <si>
    <t>объем субвенции, предоставляемой бюджету i-го муниципального образования на осуществление государственных полномочий по выплате ежемесячной надбавки в размере 20 процентов оклада (должностного оклада) работникам муниципальных учреждений культуры, которым присвоено звание "Почетный работник культуры Магаданской области (в рублях)</t>
  </si>
  <si>
    <t>Среднеканский  городской  округ</t>
  </si>
  <si>
    <t>Ольский  район</t>
  </si>
  <si>
    <t>Северо-Эвенский  район</t>
  </si>
  <si>
    <t>п. Стекольный</t>
  </si>
  <si>
    <t>п. Ола</t>
  </si>
  <si>
    <t>п.Омсукчан</t>
  </si>
  <si>
    <t>П. Ягодное</t>
  </si>
  <si>
    <t>проживающих на территории Магаданской области на 2014-2016 годы</t>
  </si>
  <si>
    <t>работники культуры</t>
  </si>
  <si>
    <t>ола</t>
  </si>
  <si>
    <t>армань</t>
  </si>
  <si>
    <t xml:space="preserve">гадля </t>
  </si>
  <si>
    <t>клепка</t>
  </si>
  <si>
    <t>талон</t>
  </si>
  <si>
    <t>балаганное</t>
  </si>
  <si>
    <t>тауйск</t>
  </si>
  <si>
    <t>тахтоямск</t>
  </si>
  <si>
    <t>сусуман</t>
  </si>
  <si>
    <t>мяунджа</t>
  </si>
  <si>
    <t>палатка</t>
  </si>
  <si>
    <t>атка</t>
  </si>
  <si>
    <t>талая</t>
  </si>
  <si>
    <t>стекольный</t>
  </si>
  <si>
    <t>оротукан</t>
  </si>
  <si>
    <t>синегорье</t>
  </si>
  <si>
    <t>дебин</t>
  </si>
  <si>
    <r>
      <t xml:space="preserve">На </t>
    </r>
    <r>
      <rPr>
        <b/>
        <sz val="9"/>
        <color indexed="8"/>
        <rFont val="Times New Roman"/>
        <family val="1"/>
      </rPr>
      <t xml:space="preserve"> 2015  год </t>
    </r>
    <r>
      <rPr>
        <sz val="9"/>
        <color indexed="8"/>
        <rFont val="Times New Roman"/>
        <family val="1"/>
      </rPr>
      <t xml:space="preserve"> объем субвенции, предоставляемой бюджету i-го муниципального образования на осуществление государственных полномочий по выплате ежемесячной надбавки в размере 20 процентов оклада (должностного оклада) работникам муниципальных учреждений культуры, которым присвоено звание "Почетный работник культуры Магаданской области (в тыс. руб.)</t>
    </r>
  </si>
  <si>
    <r>
      <t xml:space="preserve">На </t>
    </r>
    <r>
      <rPr>
        <b/>
        <sz val="9"/>
        <color indexed="8"/>
        <rFont val="Times New Roman"/>
        <family val="1"/>
      </rPr>
      <t xml:space="preserve"> 2016  год</t>
    </r>
    <r>
      <rPr>
        <sz val="9"/>
        <color indexed="8"/>
        <rFont val="Times New Roman"/>
        <family val="1"/>
      </rPr>
      <t xml:space="preserve">  объем субвенции, предоставляемой бюджету i-го муниципального образования на осуществление государственных полномочий по выплате ежемесячной надбавки в размере 20 процентов оклада (должностного оклада) работникам муниципальных учреждений культуры, которым присвоено звание "Почетный работник культуры Магаданской области (в тыс. руб.)</t>
    </r>
  </si>
  <si>
    <r>
      <t xml:space="preserve">На  </t>
    </r>
    <r>
      <rPr>
        <b/>
        <sz val="9"/>
        <color indexed="8"/>
        <rFont val="Times New Roman"/>
        <family val="1"/>
      </rPr>
      <t>2017  год</t>
    </r>
    <r>
      <rPr>
        <sz val="9"/>
        <color indexed="8"/>
        <rFont val="Times New Roman"/>
        <family val="1"/>
      </rPr>
      <t xml:space="preserve">  объем субвенции, предоставляемой бюджету i-го муниципального образования на осуществление государственных полномочий по выплате ежемесячной надбавки в размере 20 процентов оклада (должностного оклада) работникам муниципальных учреждений культуры, которым присвоено звание "Почетный работник культуры Магаданской области (в тыс. руб.)</t>
    </r>
  </si>
  <si>
    <t xml:space="preserve">ИТОГО </t>
  </si>
  <si>
    <t>Расчет дотаций на выравнивание бюджетной обеспеченности  поселений на 2015 год</t>
  </si>
  <si>
    <t>Наименование</t>
  </si>
  <si>
    <t xml:space="preserve">Численность населения на 01.01.2014 </t>
  </si>
  <si>
    <t>Дотации (тыс.руб.)</t>
  </si>
  <si>
    <t>Дотации к утверждению</t>
  </si>
  <si>
    <t>Дотация на 1 человека (руб.)</t>
  </si>
  <si>
    <t>ВСЕГО по поселениям</t>
  </si>
  <si>
    <t>Ола, поселок</t>
  </si>
  <si>
    <t>Армань, поселок</t>
  </si>
  <si>
    <t>Балаганное, село</t>
  </si>
  <si>
    <t>Гадля, село</t>
  </si>
  <si>
    <t>Клепка, село</t>
  </si>
  <si>
    <t>Талон, село</t>
  </si>
  <si>
    <t>Тауйск, село</t>
  </si>
  <si>
    <t>Тахтоямск, село</t>
  </si>
  <si>
    <t>Ямск, село</t>
  </si>
  <si>
    <t>Эвенск, поселок</t>
  </si>
  <si>
    <t>Верхний Парень, село</t>
  </si>
  <si>
    <t>Гарманда, село</t>
  </si>
  <si>
    <t>Гижига, село</t>
  </si>
  <si>
    <t>Чайбуха, село</t>
  </si>
  <si>
    <t>Колымское, село</t>
  </si>
  <si>
    <t>Верхний Сеймчан, село</t>
  </si>
  <si>
    <t>Усть-Среднекан, село</t>
  </si>
  <si>
    <t>Сусуманский  район</t>
  </si>
  <si>
    <t>Сусуман, город</t>
  </si>
  <si>
    <t>Холодный, поселок</t>
  </si>
  <si>
    <t>Широкий, поселок</t>
  </si>
  <si>
    <t>Мяунджа, поселок</t>
  </si>
  <si>
    <t>Усть-Омчуг, поселок</t>
  </si>
  <si>
    <t>Омчак, поселок</t>
  </si>
  <si>
    <t>им.Гастелло, поселок</t>
  </si>
  <si>
    <t>Мадаун, поселок</t>
  </si>
  <si>
    <t>Палатка, поселок</t>
  </si>
  <si>
    <t>Карамкен, поселок</t>
  </si>
  <si>
    <t>Стекольный, поселок</t>
  </si>
  <si>
    <t>Талая, поселок</t>
  </si>
  <si>
    <t>Атка, поселок</t>
  </si>
  <si>
    <t>Ягодное, поселок</t>
  </si>
  <si>
    <t>Синегорье, поселок</t>
  </si>
  <si>
    <t>Оротукан, поселок</t>
  </si>
  <si>
    <t>Бурхала, поселок</t>
  </si>
  <si>
    <t>Спорное, поселок</t>
  </si>
  <si>
    <t>Дебин, поселок</t>
  </si>
  <si>
    <r>
      <t xml:space="preserve">Распределение субсидий мунципальным районам для выравнивания бюджетной обеспеченности поселений и городскому округу для финансового обеспечения решения вопросов местного значения поселений  на </t>
    </r>
    <r>
      <rPr>
        <b/>
        <sz val="14"/>
        <rFont val="Times New Roman"/>
        <family val="1"/>
      </rPr>
      <t>2015 год и на плановый период 2016 и 2017 годов</t>
    </r>
  </si>
  <si>
    <t>Численность населения на 01.01.2014 года</t>
  </si>
  <si>
    <t>Расчетная оценка расходных обязательств поселений на 2015г</t>
  </si>
  <si>
    <t>Индекс бюджетных   расходов (ИБРП)</t>
  </si>
  <si>
    <t>Прогноз налоговых и неналоговых доходов поселений на 2015г</t>
  </si>
  <si>
    <t>Дотации из Фонда поддержки послений</t>
  </si>
  <si>
    <t>Субвенции  на полномочия по расчету дотаций поселениям</t>
  </si>
  <si>
    <t xml:space="preserve">Итого собственных доходов </t>
  </si>
  <si>
    <t>Индекс доходного потенциала поселений (ИДПП)</t>
  </si>
  <si>
    <t>Бюджетная обеспеченность до распределения субсидий</t>
  </si>
  <si>
    <t>Уровень налоговых и неналоговых доходов по бюджетам поселений на душу населения</t>
  </si>
  <si>
    <t>Уровень бюджетной обеспеченности максимальный (БО мах)</t>
  </si>
  <si>
    <t>Объем средств для доведения уровня БО до уровня Бомах</t>
  </si>
  <si>
    <t>ВСЕГО к утверждению на 2015 год</t>
  </si>
  <si>
    <t>Магадан</t>
  </si>
  <si>
    <t xml:space="preserve">Ольский </t>
  </si>
  <si>
    <t xml:space="preserve">Омсукчанский </t>
  </si>
  <si>
    <t xml:space="preserve">С-Эвенский </t>
  </si>
  <si>
    <t xml:space="preserve">Среднеканский </t>
  </si>
  <si>
    <t xml:space="preserve">Сусуманский </t>
  </si>
  <si>
    <t xml:space="preserve">Тенькинский </t>
  </si>
  <si>
    <t xml:space="preserve">Хасынский </t>
  </si>
  <si>
    <t>Ягоднинский</t>
  </si>
  <si>
    <t xml:space="preserve"> И Т О Г О</t>
  </si>
  <si>
    <t>Расчет дотаций на выравнивание бюджетной обеспеченности муниципальных районов (городских округов) на  2015-2017 годы</t>
  </si>
  <si>
    <t xml:space="preserve">Численность населения на 01.01.2014, тыс.чел. </t>
  </si>
  <si>
    <t>Индекс налогового потенциала (ИНП)</t>
  </si>
  <si>
    <t>Индекс бюджетных расходов (ИБР)</t>
  </si>
  <si>
    <t>Уровень бюджетной обеспеченности (до распределения дотаций из ФФПМР(ГО)</t>
  </si>
  <si>
    <t>Прогноз налоговых и неналоговых доходов на 2015 год</t>
  </si>
  <si>
    <t>Уровень налоговых и неналоговых доходов по бюджетам МР на душу населения</t>
  </si>
  <si>
    <t>Уровень бюджетной обеспеченности максимальный (КБО)</t>
  </si>
  <si>
    <t>Объем средств для доведения уровня БО до уровня КБО</t>
  </si>
  <si>
    <t>Итого рсчетный объем дотаций</t>
  </si>
  <si>
    <t>С-Эвенский</t>
  </si>
  <si>
    <t>Среднеканский</t>
  </si>
  <si>
    <t>Сусуманский</t>
  </si>
  <si>
    <t>Тенькинский</t>
  </si>
  <si>
    <t>По области</t>
  </si>
  <si>
    <t>Расчет субсидий на выравнивание обеспеченности муниципальных районов (городских округов) по реализации расходных обязательств  по оплате коммунальных услуг  муниципальными учреждениями и выплате заработной платы работникам муниципальных учреждений на 2015 год</t>
  </si>
  <si>
    <t xml:space="preserve">Субсидии на выравнивание обеспеченности по обеспечению коммунальных услуг </t>
  </si>
  <si>
    <t xml:space="preserve">Прогнозируемые доходы на 2015 год с учетом  объема дотаций </t>
  </si>
  <si>
    <t>Расчетная оценка расходных обязательств на 2015 год</t>
  </si>
  <si>
    <t>в том числе коммунальные услуги муниципальных учреждений на 2015 год</t>
  </si>
  <si>
    <t>Уд.вес коммун.услуг в расходах</t>
  </si>
  <si>
    <t>в том числе ФОТ на 2015 год</t>
  </si>
  <si>
    <t>уд.вес ФОТ в расходах</t>
  </si>
  <si>
    <t>Уд.вес коммун.услуг и ФОТ в расходах</t>
  </si>
  <si>
    <t>Уд.вес коммун.услуг и ФОТ в доходах</t>
  </si>
  <si>
    <t>Максимальный уровень выравнивания обеспеченности</t>
  </si>
  <si>
    <t>Объем средств, необходимых для выравнивания обеспеченности</t>
  </si>
  <si>
    <t>Распределение дотаций на сбалансированность бюджетов муниципальных районов (городских округов) на 2015 год и плановый период 2016 и 2017 годов</t>
  </si>
  <si>
    <t>Первая часть дотации (  %)</t>
  </si>
  <si>
    <t>Резерв (  %)</t>
  </si>
  <si>
    <t xml:space="preserve">Всего дотации на сбалансированность </t>
  </si>
  <si>
    <t xml:space="preserve">Дотации на выравнивание бюджетной обеспеченности  МР (ГО) </t>
  </si>
  <si>
    <t>Субсидии на КУ и Зпл</t>
  </si>
  <si>
    <t>Итого  прогнозируемая оценка доходов на 2015 год с учетом дотаций и субсидий</t>
  </si>
  <si>
    <t>Максимальный уровень компенсации снижения прогнозируемых доходов к прогнозируемой оценке расходов</t>
  </si>
  <si>
    <t>Первая часть дотации</t>
  </si>
  <si>
    <t>Первая часть дотации на поддержку мер по обеспечению сбалансированности бюджетов</t>
  </si>
  <si>
    <t>Расчет индекса налогового потенциала муниципального района (городского округа) на 2015 год</t>
  </si>
  <si>
    <t>Наименование  муниципальных образований</t>
  </si>
  <si>
    <t>Прогнозируемые суммы поступлений на 2015 год</t>
  </si>
  <si>
    <t>Удельные веса поступлений по налогам на 2015 год</t>
  </si>
  <si>
    <t>Экономические показатели, отражающие базу налогообложения по налогам на 2015 год</t>
  </si>
  <si>
    <t>ИНП муниципального образования на 2015 год</t>
  </si>
  <si>
    <t>НДФЛ</t>
  </si>
  <si>
    <t>ЕНВД</t>
  </si>
  <si>
    <t>Общая сумма налогов, входящих в репрезентативную систему</t>
  </si>
  <si>
    <t>Итого по налогам, входящим в репрезентативную систему</t>
  </si>
  <si>
    <t>Магаданская область</t>
  </si>
  <si>
    <t xml:space="preserve">      тыс. руб.</t>
  </si>
  <si>
    <t>Всего</t>
  </si>
  <si>
    <t>стоимость образовательных услуг  в  тыс. рублей</t>
  </si>
  <si>
    <t xml:space="preserve"> количество лиц, подлежащих обучению
</t>
  </si>
  <si>
    <t>стоимость  программного  продукта  в  тыс. рублей</t>
  </si>
  <si>
    <t xml:space="preserve">количество экземпляров программного продукта
</t>
  </si>
  <si>
    <t xml:space="preserve">ВСЕГО: </t>
  </si>
  <si>
    <t>Городские округа</t>
  </si>
  <si>
    <t>Муниципальные районы</t>
  </si>
  <si>
    <t>Расчет   субсидий бюджетам муниципальных образований в рамках государственной программы «Развитие системы государственного и муниципального управления в Магаданской области» на 2014-2016 годы» подпрограммы  "Развитие государственной гражданской и муниципальной службы в Магаданской области" на 2014-2016 годы"  на  2015  год</t>
  </si>
  <si>
    <t>Городские  и  сельские  поселения</t>
  </si>
  <si>
    <t>Расчет  субсидий бюджетам муниципальных образований в рамках  государственной программы «Развитие системы государственного и муниципального управления в Магаданской области» на 2014-2016 годы» подпрограммы  "Повышение квалификации лиц, замещающих муниципальные должности в Магаданской области" на 2014-2016 годы"  на  2015  год</t>
  </si>
  <si>
    <t>стоимость образовательных услуги  в  тыс. рублей</t>
  </si>
  <si>
    <t>Бюджетная обеспеченность после распределения субсидий</t>
  </si>
  <si>
    <t>Сеймчан,поселок</t>
  </si>
  <si>
    <t>Обеспеченность расходных обязательств доходами (до распред. дотации)</t>
  </si>
  <si>
    <t>Обеспеченность расходных обязательств доходами (после первой части дотации)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</si>
</sst>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  <numFmt numFmtId="168" formatCode="0.000000"/>
    <numFmt numFmtId="169" formatCode="0.0%"/>
    <numFmt numFmtId="170" formatCode="0.0000000"/>
    <numFmt numFmtId="171" formatCode="_-* #,##0.0_р_._-;\-* #,##0.0_р_._-;_-* &quot;-&quot;_р_._-;_-@_-"/>
    <numFmt numFmtId="172" formatCode="#,##0.0"/>
    <numFmt numFmtId="173" formatCode="#,##0.000"/>
    <numFmt numFmtId="174" formatCode="_-* #,##0.0_р_._-;\-* #,##0.0_р_._-;_-* &quot;-&quot;?_р_._-;_-@_-"/>
    <numFmt numFmtId="175" formatCode="_-* #,##0_р_._-;\-* #,##0_р_._-;_-* &quot;-&quot;??_р_._-;_-@_-"/>
    <numFmt numFmtId="176" formatCode="_-* #,##0.0_р_._-;\-* #,##0.0_р_._-;_-* &quot;-&quot;??_р_._-;_-@_-"/>
    <numFmt numFmtId="177" formatCode="#,##0.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00_р_._-;\-* #,##0.000_р_._-;_-* &quot;-&quot;??_р_._-;_-@_-"/>
    <numFmt numFmtId="183" formatCode="#,##0.0000"/>
    <numFmt numFmtId="184" formatCode="#,##0.0_ ;\-#,##0.0\ "/>
    <numFmt numFmtId="185" formatCode="0.00000000"/>
    <numFmt numFmtId="186" formatCode="0.0000000000"/>
    <numFmt numFmtId="187" formatCode="0.000000000"/>
    <numFmt numFmtId="188" formatCode="#,##0.000000"/>
    <numFmt numFmtId="189" formatCode="#,##0.0000000"/>
    <numFmt numFmtId="190" formatCode="#,##0.00000"/>
  </numFmts>
  <fonts count="126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i/>
      <sz val="9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b/>
      <sz val="11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bscript"/>
      <sz val="10"/>
      <name val="Times New Roman"/>
      <family val="1"/>
    </font>
    <font>
      <i/>
      <sz val="7"/>
      <name val="Arial Cyr"/>
      <family val="2"/>
    </font>
    <font>
      <b/>
      <sz val="18"/>
      <name val="Arial Cyr"/>
      <family val="0"/>
    </font>
    <font>
      <b/>
      <sz val="16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u val="single"/>
      <sz val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5"/>
      <name val="Arial"/>
      <family val="2"/>
    </font>
    <font>
      <b/>
      <u val="single"/>
      <sz val="15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b/>
      <u val="single"/>
      <sz val="1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7"/>
      <name val="Times New Roman"/>
      <family val="1"/>
    </font>
    <font>
      <sz val="6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name val="Arial Cyr"/>
      <family val="0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i/>
      <sz val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b/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1" applyNumberFormat="0" applyAlignment="0" applyProtection="0"/>
    <xf numFmtId="0" fontId="95" fillId="27" borderId="2" applyNumberFormat="0" applyAlignment="0" applyProtection="0"/>
    <xf numFmtId="0" fontId="9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28" borderId="7" applyNumberFormat="0" applyAlignment="0" applyProtection="0"/>
    <xf numFmtId="0" fontId="102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4" fillId="30" borderId="0" applyNumberFormat="0" applyBorder="0" applyAlignment="0" applyProtection="0"/>
    <xf numFmtId="0" fontId="10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8" fillId="32" borderId="0" applyNumberFormat="0" applyBorder="0" applyAlignment="0" applyProtection="0"/>
  </cellStyleXfs>
  <cellXfs count="160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 indent="2"/>
    </xf>
    <xf numFmtId="0" fontId="8" fillId="33" borderId="12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8" fillId="33" borderId="15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172" fontId="4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 wrapText="1"/>
    </xf>
    <xf numFmtId="172" fontId="1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3" fontId="3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172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/>
    </xf>
    <xf numFmtId="1" fontId="12" fillId="0" borderId="10" xfId="0" applyNumberFormat="1" applyFont="1" applyFill="1" applyBorder="1" applyAlignment="1">
      <alignment/>
    </xf>
    <xf numFmtId="172" fontId="3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/>
    </xf>
    <xf numFmtId="172" fontId="3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165" fontId="18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7" fillId="0" borderId="19" xfId="0" applyFont="1" applyBorder="1" applyAlignment="1">
      <alignment vertical="top" wrapText="1"/>
    </xf>
    <xf numFmtId="0" fontId="12" fillId="0" borderId="1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173" fontId="12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/>
    </xf>
    <xf numFmtId="173" fontId="12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4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12" fillId="0" borderId="18" xfId="0" applyFont="1" applyFill="1" applyBorder="1" applyAlignment="1">
      <alignment horizontal="center"/>
    </xf>
    <xf numFmtId="176" fontId="12" fillId="0" borderId="1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76" fontId="4" fillId="0" borderId="10" xfId="62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43" fontId="4" fillId="0" borderId="18" xfId="62" applyNumberFormat="1" applyFont="1" applyFill="1" applyBorder="1" applyAlignment="1">
      <alignment horizontal="right" wrapText="1"/>
    </xf>
    <xf numFmtId="182" fontId="4" fillId="0" borderId="10" xfId="62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Border="1" applyAlignment="1">
      <alignment/>
    </xf>
    <xf numFmtId="165" fontId="0" fillId="0" borderId="10" xfId="0" applyNumberFormat="1" applyFont="1" applyFill="1" applyBorder="1" applyAlignment="1">
      <alignment horizontal="center"/>
    </xf>
    <xf numFmtId="0" fontId="109" fillId="0" borderId="10" xfId="0" applyFont="1" applyBorder="1" applyAlignment="1">
      <alignment horizontal="center"/>
    </xf>
    <xf numFmtId="175" fontId="8" fillId="0" borderId="10" xfId="62" applyNumberFormat="1" applyFont="1" applyBorder="1" applyAlignment="1">
      <alignment horizontal="right" vertical="top" wrapText="1"/>
    </xf>
    <xf numFmtId="175" fontId="5" fillId="0" borderId="10" xfId="62" applyNumberFormat="1" applyFont="1" applyBorder="1" applyAlignment="1">
      <alignment horizontal="right" vertical="top" wrapText="1"/>
    </xf>
    <xf numFmtId="176" fontId="8" fillId="0" borderId="10" xfId="62" applyNumberFormat="1" applyFont="1" applyBorder="1" applyAlignment="1">
      <alignment horizontal="right" vertical="top" wrapText="1"/>
    </xf>
    <xf numFmtId="176" fontId="2" fillId="0" borderId="10" xfId="62" applyNumberFormat="1" applyFont="1" applyBorder="1" applyAlignment="1">
      <alignment horizontal="right" vertical="top" wrapText="1"/>
    </xf>
    <xf numFmtId="176" fontId="4" fillId="0" borderId="10" xfId="62" applyNumberFormat="1" applyFont="1" applyBorder="1" applyAlignment="1">
      <alignment horizontal="right" vertical="top" wrapText="1"/>
    </xf>
    <xf numFmtId="176" fontId="2" fillId="0" borderId="11" xfId="62" applyNumberFormat="1" applyFont="1" applyBorder="1" applyAlignment="1">
      <alignment horizontal="right" vertical="top" wrapText="1"/>
    </xf>
    <xf numFmtId="176" fontId="4" fillId="0" borderId="11" xfId="62" applyNumberFormat="1" applyFont="1" applyBorder="1" applyAlignment="1">
      <alignment horizontal="right" vertical="top" wrapText="1"/>
    </xf>
    <xf numFmtId="176" fontId="2" fillId="33" borderId="20" xfId="62" applyNumberFormat="1" applyFont="1" applyFill="1" applyBorder="1" applyAlignment="1">
      <alignment horizontal="right" vertical="top" wrapText="1"/>
    </xf>
    <xf numFmtId="176" fontId="4" fillId="33" borderId="20" xfId="62" applyNumberFormat="1" applyFont="1" applyFill="1" applyBorder="1" applyAlignment="1">
      <alignment horizontal="right" vertical="top" wrapText="1"/>
    </xf>
    <xf numFmtId="176" fontId="4" fillId="33" borderId="21" xfId="62" applyNumberFormat="1" applyFont="1" applyFill="1" applyBorder="1" applyAlignment="1">
      <alignment horizontal="right" vertical="top" wrapText="1"/>
    </xf>
    <xf numFmtId="176" fontId="4" fillId="0" borderId="10" xfId="62" applyNumberFormat="1" applyFont="1" applyFill="1" applyBorder="1" applyAlignment="1">
      <alignment horizontal="right" vertical="top" wrapText="1"/>
    </xf>
    <xf numFmtId="176" fontId="4" fillId="0" borderId="11" xfId="62" applyNumberFormat="1" applyFont="1" applyBorder="1" applyAlignment="1">
      <alignment horizontal="right" vertical="top" wrapText="1"/>
    </xf>
    <xf numFmtId="176" fontId="2" fillId="0" borderId="22" xfId="62" applyNumberFormat="1" applyFont="1" applyBorder="1" applyAlignment="1">
      <alignment horizontal="right" vertical="top" wrapText="1"/>
    </xf>
    <xf numFmtId="176" fontId="2" fillId="0" borderId="14" xfId="62" applyNumberFormat="1" applyFont="1" applyBorder="1" applyAlignment="1">
      <alignment horizontal="right" vertical="top" wrapText="1"/>
    </xf>
    <xf numFmtId="176" fontId="4" fillId="0" borderId="14" xfId="62" applyNumberFormat="1" applyFont="1" applyBorder="1" applyAlignment="1">
      <alignment horizontal="right" vertical="top"/>
    </xf>
    <xf numFmtId="176" fontId="4" fillId="0" borderId="23" xfId="62" applyNumberFormat="1" applyFont="1" applyFill="1" applyBorder="1" applyAlignment="1">
      <alignment horizontal="right" vertical="top" wrapText="1"/>
    </xf>
    <xf numFmtId="176" fontId="4" fillId="0" borderId="23" xfId="62" applyNumberFormat="1" applyFont="1" applyBorder="1" applyAlignment="1">
      <alignment horizontal="right" vertical="top" wrapText="1"/>
    </xf>
    <xf numFmtId="176" fontId="4" fillId="0" borderId="24" xfId="62" applyNumberFormat="1" applyFont="1" applyBorder="1" applyAlignment="1">
      <alignment horizontal="right" vertical="top" wrapText="1"/>
    </xf>
    <xf numFmtId="176" fontId="2" fillId="0" borderId="25" xfId="62" applyNumberFormat="1" applyFont="1" applyBorder="1" applyAlignment="1">
      <alignment horizontal="right" vertical="top" wrapText="1"/>
    </xf>
    <xf numFmtId="176" fontId="2" fillId="0" borderId="26" xfId="62" applyNumberFormat="1" applyFont="1" applyBorder="1" applyAlignment="1">
      <alignment horizontal="right" vertical="top" wrapText="1"/>
    </xf>
    <xf numFmtId="172" fontId="2" fillId="0" borderId="10" xfId="62" applyNumberFormat="1" applyFont="1" applyBorder="1" applyAlignment="1">
      <alignment horizontal="right" vertical="center" wrapText="1"/>
    </xf>
    <xf numFmtId="172" fontId="7" fillId="0" borderId="10" xfId="62" applyNumberFormat="1" applyFont="1" applyBorder="1" applyAlignment="1">
      <alignment horizontal="right" vertical="center" wrapText="1"/>
    </xf>
    <xf numFmtId="176" fontId="6" fillId="0" borderId="10" xfId="62" applyNumberFormat="1" applyFont="1" applyBorder="1" applyAlignment="1">
      <alignment horizontal="right" vertical="top" wrapText="1"/>
    </xf>
    <xf numFmtId="176" fontId="8" fillId="33" borderId="10" xfId="62" applyNumberFormat="1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172" fontId="1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0" fillId="0" borderId="0" xfId="0" applyNumberFormat="1" applyFont="1" applyAlignment="1">
      <alignment horizontal="center" vertical="center" wrapText="1"/>
    </xf>
    <xf numFmtId="172" fontId="12" fillId="0" borderId="10" xfId="52" applyNumberFormat="1" applyFont="1" applyBorder="1" applyAlignment="1">
      <alignment horizontal="center"/>
      <protection/>
    </xf>
    <xf numFmtId="0" fontId="12" fillId="0" borderId="10" xfId="52" applyFont="1" applyBorder="1">
      <alignment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center" vertical="top" wrapText="1"/>
      <protection/>
    </xf>
    <xf numFmtId="172" fontId="110" fillId="0" borderId="23" xfId="0" applyNumberFormat="1" applyFont="1" applyBorder="1" applyAlignment="1">
      <alignment horizontal="center"/>
    </xf>
    <xf numFmtId="172" fontId="110" fillId="0" borderId="13" xfId="0" applyNumberFormat="1" applyFont="1" applyBorder="1" applyAlignment="1">
      <alignment horizontal="center"/>
    </xf>
    <xf numFmtId="172" fontId="110" fillId="0" borderId="18" xfId="0" applyNumberFormat="1" applyFont="1" applyBorder="1" applyAlignment="1">
      <alignment horizontal="center"/>
    </xf>
    <xf numFmtId="2" fontId="20" fillId="0" borderId="0" xfId="0" applyNumberFormat="1" applyFont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/>
    </xf>
    <xf numFmtId="165" fontId="19" fillId="0" borderId="10" xfId="0" applyNumberFormat="1" applyFont="1" applyBorder="1" applyAlignment="1">
      <alignment horizontal="center"/>
    </xf>
    <xf numFmtId="172" fontId="19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72" fontId="110" fillId="0" borderId="27" xfId="0" applyNumberFormat="1" applyFont="1" applyBorder="1" applyAlignment="1">
      <alignment horizontal="center"/>
    </xf>
    <xf numFmtId="0" fontId="110" fillId="0" borderId="0" xfId="0" applyFont="1" applyAlignment="1">
      <alignment/>
    </xf>
    <xf numFmtId="0" fontId="23" fillId="0" borderId="1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6" fillId="33" borderId="18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6" fillId="0" borderId="18" xfId="0" applyFont="1" applyBorder="1" applyAlignment="1">
      <alignment vertical="top" wrapText="1"/>
    </xf>
    <xf numFmtId="43" fontId="4" fillId="0" borderId="18" xfId="62" applyNumberFormat="1" applyFont="1" applyFill="1" applyBorder="1" applyAlignment="1">
      <alignment horizontal="right" vertical="top" wrapText="1"/>
    </xf>
    <xf numFmtId="43" fontId="4" fillId="0" borderId="18" xfId="62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6" fillId="0" borderId="28" xfId="0" applyFont="1" applyBorder="1" applyAlignment="1">
      <alignment vertical="top" wrapText="1"/>
    </xf>
    <xf numFmtId="43" fontId="2" fillId="0" borderId="29" xfId="62" applyNumberFormat="1" applyFont="1" applyBorder="1" applyAlignment="1">
      <alignment horizontal="right" vertical="top" wrapText="1"/>
    </xf>
    <xf numFmtId="43" fontId="4" fillId="0" borderId="10" xfId="62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1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07" fillId="0" borderId="0" xfId="0" applyFont="1" applyAlignment="1">
      <alignment/>
    </xf>
    <xf numFmtId="172" fontId="110" fillId="0" borderId="23" xfId="0" applyNumberFormat="1" applyFont="1" applyBorder="1" applyAlignment="1">
      <alignment/>
    </xf>
    <xf numFmtId="165" fontId="107" fillId="0" borderId="0" xfId="0" applyNumberFormat="1" applyFont="1" applyAlignment="1">
      <alignment/>
    </xf>
    <xf numFmtId="0" fontId="110" fillId="0" borderId="27" xfId="0" applyFont="1" applyBorder="1" applyAlignment="1">
      <alignment/>
    </xf>
    <xf numFmtId="172" fontId="110" fillId="0" borderId="13" xfId="0" applyNumberFormat="1" applyFont="1" applyBorder="1" applyAlignment="1">
      <alignment/>
    </xf>
    <xf numFmtId="0" fontId="111" fillId="0" borderId="0" xfId="0" applyFont="1" applyAlignment="1">
      <alignment vertical="center"/>
    </xf>
    <xf numFmtId="0" fontId="112" fillId="0" borderId="0" xfId="0" applyFont="1" applyAlignment="1">
      <alignment horizontal="left" vertical="center"/>
    </xf>
    <xf numFmtId="0" fontId="110" fillId="0" borderId="0" xfId="0" applyFont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10" fillId="0" borderId="13" xfId="0" applyFont="1" applyBorder="1" applyAlignment="1">
      <alignment horizontal="center" vertical="center"/>
    </xf>
    <xf numFmtId="0" fontId="110" fillId="0" borderId="23" xfId="0" applyFont="1" applyBorder="1" applyAlignment="1">
      <alignment horizontal="center" vertical="center" wrapText="1"/>
    </xf>
    <xf numFmtId="172" fontId="110" fillId="0" borderId="18" xfId="0" applyNumberFormat="1" applyFont="1" applyBorder="1" applyAlignment="1">
      <alignment/>
    </xf>
    <xf numFmtId="0" fontId="110" fillId="0" borderId="27" xfId="0" applyFont="1" applyBorder="1" applyAlignment="1">
      <alignment horizontal="left" vertical="center"/>
    </xf>
    <xf numFmtId="172" fontId="110" fillId="0" borderId="13" xfId="0" applyNumberFormat="1" applyFont="1" applyBorder="1" applyAlignment="1">
      <alignment horizontal="right" vertical="center"/>
    </xf>
    <xf numFmtId="0" fontId="12" fillId="35" borderId="10" xfId="0" applyFont="1" applyFill="1" applyBorder="1" applyAlignment="1">
      <alignment/>
    </xf>
    <xf numFmtId="165" fontId="4" fillId="0" borderId="0" xfId="0" applyNumberFormat="1" applyFont="1" applyFill="1" applyAlignment="1">
      <alignment/>
    </xf>
    <xf numFmtId="9" fontId="4" fillId="0" borderId="0" xfId="0" applyNumberFormat="1" applyFont="1" applyFill="1" applyAlignment="1">
      <alignment horizontal="center"/>
    </xf>
    <xf numFmtId="0" fontId="15" fillId="0" borderId="18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9" fillId="0" borderId="30" xfId="0" applyFont="1" applyFill="1" applyBorder="1" applyAlignment="1">
      <alignment wrapText="1"/>
    </xf>
    <xf numFmtId="0" fontId="29" fillId="0" borderId="31" xfId="0" applyFont="1" applyFill="1" applyBorder="1" applyAlignment="1">
      <alignment wrapText="1"/>
    </xf>
    <xf numFmtId="0" fontId="29" fillId="0" borderId="32" xfId="0" applyFont="1" applyFill="1" applyBorder="1" applyAlignment="1">
      <alignment wrapText="1"/>
    </xf>
    <xf numFmtId="0" fontId="30" fillId="0" borderId="33" xfId="0" applyFont="1" applyFill="1" applyBorder="1" applyAlignment="1">
      <alignment horizontal="center"/>
    </xf>
    <xf numFmtId="0" fontId="31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right" wrapText="1"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right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49" fontId="33" fillId="0" borderId="22" xfId="0" applyNumberFormat="1" applyFont="1" applyFill="1" applyBorder="1" applyAlignment="1">
      <alignment horizontal="center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33" fillId="0" borderId="34" xfId="0" applyFont="1" applyFill="1" applyBorder="1" applyAlignment="1">
      <alignment/>
    </xf>
    <xf numFmtId="0" fontId="37" fillId="0" borderId="35" xfId="0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49" fontId="33" fillId="0" borderId="34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/>
    </xf>
    <xf numFmtId="172" fontId="33" fillId="0" borderId="10" xfId="0" applyNumberFormat="1" applyFont="1" applyFill="1" applyBorder="1" applyAlignment="1">
      <alignment horizontal="center" vertical="center" wrapText="1"/>
    </xf>
    <xf numFmtId="172" fontId="37" fillId="0" borderId="10" xfId="0" applyNumberFormat="1" applyFont="1" applyFill="1" applyBorder="1" applyAlignment="1">
      <alignment horizontal="center" vertical="center" wrapText="1"/>
    </xf>
    <xf numFmtId="172" fontId="37" fillId="0" borderId="0" xfId="0" applyNumberFormat="1" applyFont="1" applyFill="1" applyBorder="1" applyAlignment="1">
      <alignment horizontal="center" vertical="center" wrapText="1"/>
    </xf>
    <xf numFmtId="3" fontId="33" fillId="0" borderId="35" xfId="0" applyNumberFormat="1" applyFont="1" applyFill="1" applyBorder="1" applyAlignment="1">
      <alignment horizontal="center" vertical="center" wrapText="1"/>
    </xf>
    <xf numFmtId="172" fontId="33" fillId="0" borderId="35" xfId="0" applyNumberFormat="1" applyFont="1" applyFill="1" applyBorder="1" applyAlignment="1">
      <alignment horizontal="center" vertical="center" wrapText="1"/>
    </xf>
    <xf numFmtId="172" fontId="37" fillId="0" borderId="35" xfId="0" applyNumberFormat="1" applyFont="1" applyFill="1" applyBorder="1" applyAlignment="1">
      <alignment horizontal="center" vertical="center" wrapText="1"/>
    </xf>
    <xf numFmtId="172" fontId="37" fillId="0" borderId="0" xfId="0" applyNumberFormat="1" applyFont="1" applyFill="1" applyBorder="1" applyAlignment="1">
      <alignment horizontal="center"/>
    </xf>
    <xf numFmtId="49" fontId="33" fillId="0" borderId="13" xfId="0" applyNumberFormat="1" applyFont="1" applyFill="1" applyBorder="1" applyAlignment="1">
      <alignment horizontal="left" vertical="center" wrapText="1"/>
    </xf>
    <xf numFmtId="4" fontId="33" fillId="0" borderId="35" xfId="0" applyNumberFormat="1" applyFont="1" applyFill="1" applyBorder="1" applyAlignment="1">
      <alignment horizontal="center" vertical="center" wrapText="1"/>
    </xf>
    <xf numFmtId="49" fontId="37" fillId="0" borderId="36" xfId="0" applyNumberFormat="1" applyFont="1" applyFill="1" applyBorder="1" applyAlignment="1">
      <alignment horizontal="right" vertical="center" wrapText="1"/>
    </xf>
    <xf numFmtId="172" fontId="37" fillId="0" borderId="37" xfId="0" applyNumberFormat="1" applyFont="1" applyFill="1" applyBorder="1" applyAlignment="1">
      <alignment horizontal="center" vertical="center" wrapText="1"/>
    </xf>
    <xf numFmtId="49" fontId="33" fillId="0" borderId="38" xfId="0" applyNumberFormat="1" applyFont="1" applyFill="1" applyBorder="1" applyAlignment="1">
      <alignment horizontal="center" vertical="center" wrapText="1"/>
    </xf>
    <xf numFmtId="49" fontId="37" fillId="4" borderId="33" xfId="0" applyNumberFormat="1" applyFont="1" applyFill="1" applyBorder="1" applyAlignment="1">
      <alignment horizontal="center" vertical="center" wrapText="1"/>
    </xf>
    <xf numFmtId="49" fontId="37" fillId="4" borderId="39" xfId="0" applyNumberFormat="1" applyFont="1" applyFill="1" applyBorder="1" applyAlignment="1">
      <alignment horizontal="center" vertical="center" wrapText="1"/>
    </xf>
    <xf numFmtId="49" fontId="33" fillId="0" borderId="26" xfId="0" applyNumberFormat="1" applyFont="1" applyFill="1" applyBorder="1" applyAlignment="1">
      <alignment horizontal="center" vertical="center" wrapText="1"/>
    </xf>
    <xf numFmtId="49" fontId="37" fillId="4" borderId="30" xfId="0" applyNumberFormat="1" applyFont="1" applyFill="1" applyBorder="1" applyAlignment="1">
      <alignment horizontal="center" vertical="center" wrapText="1"/>
    </xf>
    <xf numFmtId="49" fontId="37" fillId="4" borderId="30" xfId="0" applyNumberFormat="1" applyFont="1" applyFill="1" applyBorder="1" applyAlignment="1">
      <alignment vertical="center" wrapText="1"/>
    </xf>
    <xf numFmtId="49" fontId="37" fillId="4" borderId="40" xfId="0" applyNumberFormat="1" applyFont="1" applyFill="1" applyBorder="1" applyAlignment="1">
      <alignment vertical="center" wrapText="1"/>
    </xf>
    <xf numFmtId="172" fontId="33" fillId="0" borderId="27" xfId="0" applyNumberFormat="1" applyFont="1" applyFill="1" applyBorder="1" applyAlignment="1">
      <alignment horizontal="center" vertical="center" wrapText="1"/>
    </xf>
    <xf numFmtId="172" fontId="37" fillId="4" borderId="31" xfId="0" applyNumberFormat="1" applyFont="1" applyFill="1" applyBorder="1" applyAlignment="1">
      <alignment horizontal="center" vertical="center" wrapText="1"/>
    </xf>
    <xf numFmtId="172" fontId="37" fillId="4" borderId="31" xfId="0" applyNumberFormat="1" applyFont="1" applyFill="1" applyBorder="1" applyAlignment="1">
      <alignment horizontal="center"/>
    </xf>
    <xf numFmtId="49" fontId="33" fillId="0" borderId="41" xfId="0" applyNumberFormat="1" applyFont="1" applyFill="1" applyBorder="1" applyAlignment="1">
      <alignment horizontal="left" vertical="center" wrapText="1"/>
    </xf>
    <xf numFmtId="172" fontId="33" fillId="0" borderId="14" xfId="0" applyNumberFormat="1" applyFont="1" applyFill="1" applyBorder="1" applyAlignment="1">
      <alignment horizontal="center" vertical="center" wrapText="1"/>
    </xf>
    <xf numFmtId="172" fontId="33" fillId="0" borderId="42" xfId="0" applyNumberFormat="1" applyFont="1" applyFill="1" applyBorder="1" applyAlignment="1">
      <alignment horizontal="center" vertical="center" wrapText="1"/>
    </xf>
    <xf numFmtId="172" fontId="37" fillId="4" borderId="32" xfId="0" applyNumberFormat="1" applyFont="1" applyFill="1" applyBorder="1" applyAlignment="1">
      <alignment horizontal="center"/>
    </xf>
    <xf numFmtId="49" fontId="37" fillId="4" borderId="17" xfId="0" applyNumberFormat="1" applyFont="1" applyFill="1" applyBorder="1" applyAlignment="1">
      <alignment horizontal="right" wrapText="1"/>
    </xf>
    <xf numFmtId="172" fontId="37" fillId="4" borderId="22" xfId="0" applyNumberFormat="1" applyFont="1" applyFill="1" applyBorder="1" applyAlignment="1">
      <alignment horizontal="center" wrapText="1"/>
    </xf>
    <xf numFmtId="0" fontId="3" fillId="0" borderId="0" xfId="52" applyFont="1">
      <alignment/>
      <protection/>
    </xf>
    <xf numFmtId="0" fontId="3" fillId="0" borderId="0" xfId="52" applyFont="1" applyFill="1">
      <alignment/>
      <protection/>
    </xf>
    <xf numFmtId="0" fontId="41" fillId="0" borderId="43" xfId="52" applyFont="1" applyFill="1" applyBorder="1" applyAlignment="1">
      <alignment horizontal="center"/>
      <protection/>
    </xf>
    <xf numFmtId="0" fontId="40" fillId="0" borderId="43" xfId="52" applyFont="1" applyFill="1" applyBorder="1" applyAlignment="1">
      <alignment horizontal="center"/>
      <protection/>
    </xf>
    <xf numFmtId="0" fontId="40" fillId="0" borderId="43" xfId="52" applyFont="1" applyFill="1" applyBorder="1" applyAlignment="1">
      <alignment horizontal="center" vertical="center" wrapText="1"/>
      <protection/>
    </xf>
    <xf numFmtId="0" fontId="41" fillId="0" borderId="44" xfId="52" applyFont="1" applyFill="1" applyBorder="1" applyAlignment="1">
      <alignment horizontal="center"/>
      <protection/>
    </xf>
    <xf numFmtId="0" fontId="41" fillId="0" borderId="0" xfId="52" applyFont="1" applyFill="1" applyBorder="1" applyAlignment="1">
      <alignment horizontal="center"/>
      <protection/>
    </xf>
    <xf numFmtId="0" fontId="40" fillId="0" borderId="45" xfId="52" applyFont="1" applyFill="1" applyBorder="1">
      <alignment/>
      <protection/>
    </xf>
    <xf numFmtId="4" fontId="40" fillId="0" borderId="35" xfId="52" applyNumberFormat="1" applyFont="1" applyFill="1" applyBorder="1">
      <alignment/>
      <protection/>
    </xf>
    <xf numFmtId="3" fontId="40" fillId="0" borderId="35" xfId="52" applyNumberFormat="1" applyFont="1" applyFill="1" applyBorder="1" applyAlignment="1">
      <alignment horizontal="center"/>
      <protection/>
    </xf>
    <xf numFmtId="43" fontId="40" fillId="0" borderId="14" xfId="62" applyFont="1" applyFill="1" applyBorder="1" applyAlignment="1">
      <alignment vertical="center" wrapText="1"/>
    </xf>
    <xf numFmtId="172" fontId="40" fillId="0" borderId="35" xfId="52" applyNumberFormat="1" applyFont="1" applyFill="1" applyBorder="1">
      <alignment/>
      <protection/>
    </xf>
    <xf numFmtId="177" fontId="40" fillId="0" borderId="35" xfId="52" applyNumberFormat="1" applyFont="1" applyFill="1" applyBorder="1">
      <alignment/>
      <protection/>
    </xf>
    <xf numFmtId="177" fontId="40" fillId="0" borderId="46" xfId="52" applyNumberFormat="1" applyFont="1" applyFill="1" applyBorder="1">
      <alignment/>
      <protection/>
    </xf>
    <xf numFmtId="0" fontId="40" fillId="4" borderId="30" xfId="52" applyFont="1" applyFill="1" applyBorder="1">
      <alignment/>
      <protection/>
    </xf>
    <xf numFmtId="0" fontId="40" fillId="4" borderId="47" xfId="52" applyFont="1" applyFill="1" applyBorder="1">
      <alignment/>
      <protection/>
    </xf>
    <xf numFmtId="0" fontId="40" fillId="0" borderId="18" xfId="52" applyFont="1" applyFill="1" applyBorder="1">
      <alignment/>
      <protection/>
    </xf>
    <xf numFmtId="4" fontId="40" fillId="0" borderId="10" xfId="52" applyNumberFormat="1" applyFont="1" applyFill="1" applyBorder="1">
      <alignment/>
      <protection/>
    </xf>
    <xf numFmtId="3" fontId="40" fillId="0" borderId="10" xfId="52" applyNumberFormat="1" applyFont="1" applyFill="1" applyBorder="1" applyAlignment="1">
      <alignment horizontal="center"/>
      <protection/>
    </xf>
    <xf numFmtId="43" fontId="40" fillId="0" borderId="11" xfId="62" applyFont="1" applyFill="1" applyBorder="1" applyAlignment="1">
      <alignment vertical="center" wrapText="1"/>
    </xf>
    <xf numFmtId="172" fontId="40" fillId="0" borderId="10" xfId="52" applyNumberFormat="1" applyFont="1" applyFill="1" applyBorder="1">
      <alignment/>
      <protection/>
    </xf>
    <xf numFmtId="177" fontId="40" fillId="0" borderId="10" xfId="52" applyNumberFormat="1" applyFont="1" applyFill="1" applyBorder="1">
      <alignment/>
      <protection/>
    </xf>
    <xf numFmtId="177" fontId="40" fillId="0" borderId="27" xfId="52" applyNumberFormat="1" applyFont="1" applyFill="1" applyBorder="1">
      <alignment/>
      <protection/>
    </xf>
    <xf numFmtId="0" fontId="40" fillId="4" borderId="31" xfId="52" applyFont="1" applyFill="1" applyBorder="1">
      <alignment/>
      <protection/>
    </xf>
    <xf numFmtId="0" fontId="40" fillId="4" borderId="48" xfId="52" applyFont="1" applyFill="1" applyBorder="1">
      <alignment/>
      <protection/>
    </xf>
    <xf numFmtId="0" fontId="40" fillId="0" borderId="28" xfId="52" applyFont="1" applyFill="1" applyBorder="1">
      <alignment/>
      <protection/>
    </xf>
    <xf numFmtId="4" fontId="40" fillId="0" borderId="11" xfId="52" applyNumberFormat="1" applyFont="1" applyFill="1" applyBorder="1">
      <alignment/>
      <protection/>
    </xf>
    <xf numFmtId="3" fontId="40" fillId="0" borderId="11" xfId="52" applyNumberFormat="1" applyFont="1" applyFill="1" applyBorder="1" applyAlignment="1">
      <alignment horizontal="center"/>
      <protection/>
    </xf>
    <xf numFmtId="177" fontId="40" fillId="0" borderId="14" xfId="52" applyNumberFormat="1" applyFont="1" applyFill="1" applyBorder="1">
      <alignment/>
      <protection/>
    </xf>
    <xf numFmtId="177" fontId="40" fillId="0" borderId="0" xfId="52" applyNumberFormat="1" applyFont="1" applyFill="1" applyBorder="1">
      <alignment/>
      <protection/>
    </xf>
    <xf numFmtId="0" fontId="40" fillId="0" borderId="49" xfId="52" applyFont="1" applyFill="1" applyBorder="1">
      <alignment/>
      <protection/>
    </xf>
    <xf numFmtId="0" fontId="40" fillId="0" borderId="29" xfId="52" applyFont="1" applyFill="1" applyBorder="1">
      <alignment/>
      <protection/>
    </xf>
    <xf numFmtId="4" fontId="40" fillId="0" borderId="37" xfId="52" applyNumberFormat="1" applyFont="1" applyFill="1" applyBorder="1">
      <alignment/>
      <protection/>
    </xf>
    <xf numFmtId="3" fontId="40" fillId="0" borderId="37" xfId="52" applyNumberFormat="1" applyFont="1" applyFill="1" applyBorder="1" applyAlignment="1">
      <alignment horizontal="center"/>
      <protection/>
    </xf>
    <xf numFmtId="172" fontId="40" fillId="0" borderId="37" xfId="52" applyNumberFormat="1" applyFont="1" applyFill="1" applyBorder="1">
      <alignment/>
      <protection/>
    </xf>
    <xf numFmtId="172" fontId="40" fillId="0" borderId="50" xfId="52" applyNumberFormat="1" applyFont="1" applyFill="1" applyBorder="1">
      <alignment/>
      <protection/>
    </xf>
    <xf numFmtId="177" fontId="40" fillId="0" borderId="37" xfId="52" applyNumberFormat="1" applyFont="1" applyFill="1" applyBorder="1">
      <alignment/>
      <protection/>
    </xf>
    <xf numFmtId="177" fontId="40" fillId="0" borderId="50" xfId="52" applyNumberFormat="1" applyFont="1" applyFill="1" applyBorder="1">
      <alignment/>
      <protection/>
    </xf>
    <xf numFmtId="172" fontId="41" fillId="4" borderId="49" xfId="52" applyNumberFormat="1" applyFont="1" applyFill="1" applyBorder="1">
      <alignment/>
      <protection/>
    </xf>
    <xf numFmtId="4" fontId="41" fillId="4" borderId="50" xfId="52" applyNumberFormat="1" applyFont="1" applyFill="1" applyBorder="1">
      <alignment/>
      <protection/>
    </xf>
    <xf numFmtId="4" fontId="41" fillId="4" borderId="49" xfId="52" applyNumberFormat="1" applyFont="1" applyFill="1" applyBorder="1">
      <alignment/>
      <protection/>
    </xf>
    <xf numFmtId="172" fontId="3" fillId="0" borderId="0" xfId="52" applyNumberFormat="1" applyFont="1" applyFill="1">
      <alignment/>
      <protection/>
    </xf>
    <xf numFmtId="177" fontId="3" fillId="0" borderId="0" xfId="52" applyNumberFormat="1" applyFont="1" applyFill="1">
      <alignment/>
      <protection/>
    </xf>
    <xf numFmtId="172" fontId="12" fillId="0" borderId="0" xfId="52" applyNumberFormat="1" applyFont="1" applyFill="1">
      <alignment/>
      <protection/>
    </xf>
    <xf numFmtId="0" fontId="41" fillId="0" borderId="51" xfId="52" applyFont="1" applyFill="1" applyBorder="1" applyAlignment="1">
      <alignment vertical="center" wrapText="1"/>
      <protection/>
    </xf>
    <xf numFmtId="0" fontId="40" fillId="0" borderId="43" xfId="52" applyFont="1" applyFill="1" applyBorder="1" applyAlignment="1">
      <alignment vertical="center" wrapText="1"/>
      <protection/>
    </xf>
    <xf numFmtId="172" fontId="40" fillId="0" borderId="14" xfId="52" applyNumberFormat="1" applyFont="1" applyFill="1" applyBorder="1">
      <alignment/>
      <protection/>
    </xf>
    <xf numFmtId="172" fontId="40" fillId="0" borderId="0" xfId="52" applyNumberFormat="1" applyFont="1" applyFill="1" applyBorder="1">
      <alignment/>
      <protection/>
    </xf>
    <xf numFmtId="172" fontId="40" fillId="4" borderId="52" xfId="52" applyNumberFormat="1" applyFont="1" applyFill="1" applyBorder="1">
      <alignment/>
      <protection/>
    </xf>
    <xf numFmtId="0" fontId="40" fillId="4" borderId="0" xfId="52" applyFont="1" applyFill="1" applyBorder="1">
      <alignment/>
      <protection/>
    </xf>
    <xf numFmtId="0" fontId="40" fillId="4" borderId="52" xfId="52" applyFont="1" applyFill="1" applyBorder="1">
      <alignment/>
      <protection/>
    </xf>
    <xf numFmtId="0" fontId="12" fillId="0" borderId="0" xfId="52" applyFont="1" applyFill="1">
      <alignment/>
      <protection/>
    </xf>
    <xf numFmtId="172" fontId="40" fillId="4" borderId="31" xfId="52" applyNumberFormat="1" applyFont="1" applyFill="1" applyBorder="1">
      <alignment/>
      <protection/>
    </xf>
    <xf numFmtId="172" fontId="40" fillId="4" borderId="48" xfId="52" applyNumberFormat="1" applyFont="1" applyFill="1" applyBorder="1">
      <alignment/>
      <protection/>
    </xf>
    <xf numFmtId="0" fontId="40" fillId="0" borderId="49" xfId="52" applyFont="1" applyFill="1" applyBorder="1" applyAlignment="1">
      <alignment wrapText="1"/>
      <protection/>
    </xf>
    <xf numFmtId="177" fontId="41" fillId="0" borderId="14" xfId="52" applyNumberFormat="1" applyFont="1" applyFill="1" applyBorder="1">
      <alignment/>
      <protection/>
    </xf>
    <xf numFmtId="177" fontId="41" fillId="0" borderId="0" xfId="52" applyNumberFormat="1" applyFont="1" applyFill="1" applyBorder="1">
      <alignment/>
      <protection/>
    </xf>
    <xf numFmtId="172" fontId="40" fillId="4" borderId="30" xfId="52" applyNumberFormat="1" applyFont="1" applyFill="1" applyBorder="1">
      <alignment/>
      <protection/>
    </xf>
    <xf numFmtId="172" fontId="40" fillId="4" borderId="47" xfId="52" applyNumberFormat="1" applyFont="1" applyFill="1" applyBorder="1">
      <alignment/>
      <protection/>
    </xf>
    <xf numFmtId="177" fontId="41" fillId="0" borderId="10" xfId="52" applyNumberFormat="1" applyFont="1" applyFill="1" applyBorder="1">
      <alignment/>
      <protection/>
    </xf>
    <xf numFmtId="177" fontId="41" fillId="0" borderId="27" xfId="52" applyNumberFormat="1" applyFont="1" applyFill="1" applyBorder="1">
      <alignment/>
      <protection/>
    </xf>
    <xf numFmtId="172" fontId="41" fillId="4" borderId="30" xfId="52" applyNumberFormat="1" applyFont="1" applyFill="1" applyBorder="1">
      <alignment/>
      <protection/>
    </xf>
    <xf numFmtId="0" fontId="41" fillId="4" borderId="47" xfId="52" applyFont="1" applyFill="1" applyBorder="1">
      <alignment/>
      <protection/>
    </xf>
    <xf numFmtId="0" fontId="41" fillId="4" borderId="30" xfId="52" applyFont="1" applyFill="1" applyBorder="1">
      <alignment/>
      <protection/>
    </xf>
    <xf numFmtId="0" fontId="40" fillId="0" borderId="32" xfId="52" applyFont="1" applyFill="1" applyBorder="1" applyAlignment="1">
      <alignment wrapText="1"/>
      <protection/>
    </xf>
    <xf numFmtId="177" fontId="40" fillId="0" borderId="53" xfId="52" applyNumberFormat="1" applyFont="1" applyFill="1" applyBorder="1">
      <alignment/>
      <protection/>
    </xf>
    <xf numFmtId="4" fontId="41" fillId="4" borderId="54" xfId="52" applyNumberFormat="1" applyFont="1" applyFill="1" applyBorder="1">
      <alignment/>
      <protection/>
    </xf>
    <xf numFmtId="4" fontId="41" fillId="4" borderId="32" xfId="52" applyNumberFormat="1" applyFont="1" applyFill="1" applyBorder="1">
      <alignment/>
      <protection/>
    </xf>
    <xf numFmtId="0" fontId="41" fillId="0" borderId="33" xfId="52" applyFont="1" applyFill="1" applyBorder="1">
      <alignment/>
      <protection/>
    </xf>
    <xf numFmtId="0" fontId="40" fillId="0" borderId="55" xfId="52" applyFont="1" applyFill="1" applyBorder="1">
      <alignment/>
      <protection/>
    </xf>
    <xf numFmtId="0" fontId="40" fillId="0" borderId="22" xfId="52" applyFont="1" applyFill="1" applyBorder="1">
      <alignment/>
      <protection/>
    </xf>
    <xf numFmtId="3" fontId="41" fillId="0" borderId="56" xfId="52" applyNumberFormat="1" applyFont="1" applyFill="1" applyBorder="1" applyAlignment="1">
      <alignment horizontal="center"/>
      <protection/>
    </xf>
    <xf numFmtId="0" fontId="40" fillId="0" borderId="0" xfId="0" applyFont="1" applyFill="1" applyBorder="1" applyAlignment="1">
      <alignment/>
    </xf>
    <xf numFmtId="0" fontId="42" fillId="0" borderId="0" xfId="52" applyFont="1">
      <alignment/>
      <protection/>
    </xf>
    <xf numFmtId="0" fontId="43" fillId="0" borderId="0" xfId="52" applyFont="1" applyAlignment="1">
      <alignment horizontal="center" wrapText="1"/>
      <protection/>
    </xf>
    <xf numFmtId="0" fontId="17" fillId="0" borderId="0" xfId="52" applyFont="1">
      <alignment/>
      <protection/>
    </xf>
    <xf numFmtId="0" fontId="43" fillId="0" borderId="0" xfId="52" applyFont="1" applyAlignment="1">
      <alignment horizontal="center" vertical="top" wrapText="1"/>
      <protection/>
    </xf>
    <xf numFmtId="0" fontId="43" fillId="0" borderId="0" xfId="52" applyFont="1" applyAlignment="1">
      <alignment vertical="top" wrapText="1"/>
      <protection/>
    </xf>
    <xf numFmtId="0" fontId="43" fillId="0" borderId="0" xfId="52" applyFont="1" applyAlignment="1">
      <alignment horizontal="right" vertical="top" wrapText="1"/>
      <protection/>
    </xf>
    <xf numFmtId="0" fontId="44" fillId="0" borderId="33" xfId="52" applyFont="1" applyBorder="1" applyAlignment="1">
      <alignment horizontal="center" vertical="center" wrapText="1"/>
      <protection/>
    </xf>
    <xf numFmtId="0" fontId="44" fillId="0" borderId="56" xfId="52" applyFont="1" applyBorder="1" applyAlignment="1">
      <alignment horizontal="center" vertical="center" wrapText="1"/>
      <protection/>
    </xf>
    <xf numFmtId="0" fontId="44" fillId="0" borderId="38" xfId="52" applyFont="1" applyBorder="1" applyAlignment="1">
      <alignment horizontal="center" vertical="center" wrapText="1"/>
      <protection/>
    </xf>
    <xf numFmtId="0" fontId="44" fillId="0" borderId="22" xfId="52" applyFont="1" applyBorder="1" applyAlignment="1">
      <alignment horizontal="center" vertical="center" wrapText="1"/>
      <protection/>
    </xf>
    <xf numFmtId="0" fontId="44" fillId="0" borderId="38" xfId="52" applyFont="1" applyBorder="1" applyAlignment="1">
      <alignment horizontal="center" vertical="center" wrapText="1"/>
      <protection/>
    </xf>
    <xf numFmtId="0" fontId="44" fillId="0" borderId="57" xfId="52" applyFont="1" applyBorder="1" applyAlignment="1">
      <alignment horizontal="center" vertical="center" wrapText="1"/>
      <protection/>
    </xf>
    <xf numFmtId="0" fontId="44" fillId="0" borderId="58" xfId="52" applyFont="1" applyBorder="1" applyAlignment="1">
      <alignment horizontal="center" vertical="center" wrapText="1"/>
      <protection/>
    </xf>
    <xf numFmtId="0" fontId="43" fillId="4" borderId="33" xfId="52" applyFont="1" applyFill="1" applyBorder="1" applyAlignment="1">
      <alignment horizontal="center" vertical="center" wrapText="1"/>
      <protection/>
    </xf>
    <xf numFmtId="0" fontId="42" fillId="0" borderId="0" xfId="52" applyFont="1" applyAlignment="1">
      <alignment vertical="center"/>
      <protection/>
    </xf>
    <xf numFmtId="0" fontId="44" fillId="0" borderId="25" xfId="52" applyFont="1" applyBorder="1" applyAlignment="1">
      <alignment horizontal="center" vertical="center" wrapText="1"/>
      <protection/>
    </xf>
    <xf numFmtId="0" fontId="43" fillId="4" borderId="33" xfId="52" applyFont="1" applyFill="1" applyBorder="1" applyAlignment="1">
      <alignment horizontal="center" vertical="center"/>
      <protection/>
    </xf>
    <xf numFmtId="0" fontId="44" fillId="0" borderId="30" xfId="52" applyFont="1" applyBorder="1">
      <alignment/>
      <protection/>
    </xf>
    <xf numFmtId="3" fontId="44" fillId="0" borderId="59" xfId="52" applyNumberFormat="1" applyFont="1" applyBorder="1" applyAlignment="1">
      <alignment horizontal="center" wrapText="1"/>
      <protection/>
    </xf>
    <xf numFmtId="3" fontId="44" fillId="0" borderId="46" xfId="52" applyNumberFormat="1" applyFont="1" applyBorder="1" applyAlignment="1">
      <alignment horizontal="center"/>
      <protection/>
    </xf>
    <xf numFmtId="3" fontId="44" fillId="0" borderId="35" xfId="52" applyNumberFormat="1" applyFont="1" applyBorder="1" applyAlignment="1">
      <alignment horizontal="center"/>
      <protection/>
    </xf>
    <xf numFmtId="172" fontId="44" fillId="0" borderId="46" xfId="52" applyNumberFormat="1" applyFont="1" applyBorder="1" applyAlignment="1">
      <alignment horizontal="center"/>
      <protection/>
    </xf>
    <xf numFmtId="173" fontId="44" fillId="0" borderId="46" xfId="52" applyNumberFormat="1" applyFont="1" applyBorder="1" applyAlignment="1">
      <alignment horizontal="center"/>
      <protection/>
    </xf>
    <xf numFmtId="3" fontId="44" fillId="0" borderId="60" xfId="52" applyNumberFormat="1" applyFont="1" applyBorder="1" applyAlignment="1">
      <alignment horizontal="center"/>
      <protection/>
    </xf>
    <xf numFmtId="172" fontId="43" fillId="4" borderId="30" xfId="52" applyNumberFormat="1" applyFont="1" applyFill="1" applyBorder="1" applyAlignment="1">
      <alignment horizontal="center"/>
      <protection/>
    </xf>
    <xf numFmtId="0" fontId="44" fillId="0" borderId="31" xfId="52" applyFont="1" applyBorder="1">
      <alignment/>
      <protection/>
    </xf>
    <xf numFmtId="3" fontId="44" fillId="0" borderId="61" xfId="52" applyNumberFormat="1" applyFont="1" applyBorder="1" applyAlignment="1">
      <alignment horizontal="center" wrapText="1"/>
      <protection/>
    </xf>
    <xf numFmtId="3" fontId="44" fillId="0" borderId="27" xfId="52" applyNumberFormat="1" applyFont="1" applyBorder="1" applyAlignment="1">
      <alignment horizontal="center"/>
      <protection/>
    </xf>
    <xf numFmtId="3" fontId="44" fillId="0" borderId="10" xfId="52" applyNumberFormat="1" applyFont="1" applyBorder="1" applyAlignment="1">
      <alignment horizontal="center"/>
      <protection/>
    </xf>
    <xf numFmtId="172" fontId="44" fillId="0" borderId="27" xfId="52" applyNumberFormat="1" applyFont="1" applyBorder="1" applyAlignment="1">
      <alignment horizontal="center"/>
      <protection/>
    </xf>
    <xf numFmtId="173" fontId="44" fillId="0" borderId="27" xfId="52" applyNumberFormat="1" applyFont="1" applyBorder="1" applyAlignment="1">
      <alignment horizontal="center"/>
      <protection/>
    </xf>
    <xf numFmtId="3" fontId="44" fillId="0" borderId="23" xfId="52" applyNumberFormat="1" applyFont="1" applyBorder="1" applyAlignment="1">
      <alignment horizontal="center"/>
      <protection/>
    </xf>
    <xf numFmtId="172" fontId="43" fillId="4" borderId="31" xfId="52" applyNumberFormat="1" applyFont="1" applyFill="1" applyBorder="1" applyAlignment="1">
      <alignment horizontal="center"/>
      <protection/>
    </xf>
    <xf numFmtId="0" fontId="44" fillId="0" borderId="32" xfId="52" applyFont="1" applyBorder="1">
      <alignment/>
      <protection/>
    </xf>
    <xf numFmtId="3" fontId="44" fillId="0" borderId="62" xfId="52" applyNumberFormat="1" applyFont="1" applyBorder="1" applyAlignment="1">
      <alignment horizontal="center" wrapText="1"/>
      <protection/>
    </xf>
    <xf numFmtId="3" fontId="44" fillId="0" borderId="42" xfId="52" applyNumberFormat="1" applyFont="1" applyBorder="1" applyAlignment="1">
      <alignment horizontal="center"/>
      <protection/>
    </xf>
    <xf numFmtId="3" fontId="44" fillId="0" borderId="11" xfId="52" applyNumberFormat="1" applyFont="1" applyBorder="1" applyAlignment="1">
      <alignment horizontal="center"/>
      <protection/>
    </xf>
    <xf numFmtId="172" fontId="44" fillId="0" borderId="42" xfId="52" applyNumberFormat="1" applyFont="1" applyBorder="1" applyAlignment="1">
      <alignment horizontal="center"/>
      <protection/>
    </xf>
    <xf numFmtId="3" fontId="44" fillId="0" borderId="24" xfId="52" applyNumberFormat="1" applyFont="1" applyBorder="1" applyAlignment="1">
      <alignment horizontal="center"/>
      <protection/>
    </xf>
    <xf numFmtId="172" fontId="43" fillId="4" borderId="32" xfId="52" applyNumberFormat="1" applyFont="1" applyFill="1" applyBorder="1" applyAlignment="1">
      <alignment horizontal="center"/>
      <protection/>
    </xf>
    <xf numFmtId="0" fontId="43" fillId="0" borderId="33" xfId="52" applyFont="1" applyBorder="1">
      <alignment/>
      <protection/>
    </xf>
    <xf numFmtId="3" fontId="43" fillId="0" borderId="56" xfId="52" applyNumberFormat="1" applyFont="1" applyBorder="1" applyAlignment="1">
      <alignment horizontal="center"/>
      <protection/>
    </xf>
    <xf numFmtId="3" fontId="43" fillId="0" borderId="22" xfId="52" applyNumberFormat="1" applyFont="1" applyBorder="1" applyAlignment="1">
      <alignment horizontal="center"/>
      <protection/>
    </xf>
    <xf numFmtId="3" fontId="43" fillId="0" borderId="38" xfId="52" applyNumberFormat="1" applyFont="1" applyBorder="1" applyAlignment="1">
      <alignment horizontal="center"/>
      <protection/>
    </xf>
    <xf numFmtId="3" fontId="43" fillId="0" borderId="25" xfId="52" applyNumberFormat="1" applyFont="1" applyBorder="1" applyAlignment="1">
      <alignment horizontal="center"/>
      <protection/>
    </xf>
    <xf numFmtId="172" fontId="43" fillId="4" borderId="33" xfId="52" applyNumberFormat="1" applyFont="1" applyFill="1" applyBorder="1" applyAlignment="1">
      <alignment horizontal="center"/>
      <protection/>
    </xf>
    <xf numFmtId="0" fontId="44" fillId="0" borderId="0" xfId="52" applyFont="1">
      <alignment/>
      <protection/>
    </xf>
    <xf numFmtId="0" fontId="44" fillId="0" borderId="0" xfId="52" applyFont="1" applyAlignment="1">
      <alignment horizontal="right"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51" xfId="52" applyFont="1" applyBorder="1" applyAlignment="1">
      <alignment horizontal="center" vertical="center" wrapText="1"/>
      <protection/>
    </xf>
    <xf numFmtId="0" fontId="3" fillId="0" borderId="54" xfId="52" applyFont="1" applyBorder="1" applyAlignment="1">
      <alignment horizontal="center" vertical="center" wrapText="1"/>
      <protection/>
    </xf>
    <xf numFmtId="0" fontId="3" fillId="0" borderId="63" xfId="52" applyFont="1" applyBorder="1" applyAlignment="1">
      <alignment horizontal="center" vertical="center" wrapText="1"/>
      <protection/>
    </xf>
    <xf numFmtId="0" fontId="3" fillId="0" borderId="44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0" fontId="3" fillId="0" borderId="57" xfId="52" applyFont="1" applyBorder="1" applyAlignment="1">
      <alignment horizontal="center" vertical="center" wrapText="1"/>
      <protection/>
    </xf>
    <xf numFmtId="0" fontId="3" fillId="0" borderId="58" xfId="52" applyFont="1" applyBorder="1" applyAlignment="1">
      <alignment horizontal="center" vertical="center" wrapText="1"/>
      <protection/>
    </xf>
    <xf numFmtId="0" fontId="3" fillId="0" borderId="33" xfId="52" applyFont="1" applyBorder="1" applyAlignment="1">
      <alignment horizontal="center"/>
      <protection/>
    </xf>
    <xf numFmtId="0" fontId="3" fillId="0" borderId="56" xfId="52" applyFont="1" applyBorder="1" applyAlignment="1">
      <alignment horizontal="center" wrapText="1"/>
      <protection/>
    </xf>
    <xf numFmtId="0" fontId="3" fillId="0" borderId="38" xfId="52" applyFont="1" applyBorder="1" applyAlignment="1">
      <alignment horizontal="center" wrapText="1"/>
      <protection/>
    </xf>
    <xf numFmtId="0" fontId="3" fillId="0" borderId="22" xfId="52" applyFont="1" applyBorder="1" applyAlignment="1">
      <alignment horizontal="center" wrapText="1"/>
      <protection/>
    </xf>
    <xf numFmtId="0" fontId="3" fillId="0" borderId="25" xfId="52" applyFont="1" applyBorder="1" applyAlignment="1">
      <alignment horizontal="center" wrapText="1"/>
      <protection/>
    </xf>
    <xf numFmtId="172" fontId="3" fillId="0" borderId="0" xfId="52" applyNumberFormat="1" applyFont="1">
      <alignment/>
      <protection/>
    </xf>
    <xf numFmtId="165" fontId="3" fillId="0" borderId="0" xfId="52" applyNumberFormat="1" applyFont="1">
      <alignment/>
      <protection/>
    </xf>
    <xf numFmtId="0" fontId="3" fillId="0" borderId="0" xfId="52" applyFont="1" applyAlignment="1">
      <alignment horizontal="right"/>
      <protection/>
    </xf>
    <xf numFmtId="0" fontId="33" fillId="0" borderId="0" xfId="52" applyFont="1">
      <alignment/>
      <protection/>
    </xf>
    <xf numFmtId="0" fontId="12" fillId="0" borderId="0" xfId="52" applyFont="1" applyBorder="1" applyAlignment="1">
      <alignment horizontal="center" wrapText="1"/>
      <protection/>
    </xf>
    <xf numFmtId="0" fontId="12" fillId="0" borderId="53" xfId="52" applyFont="1" applyBorder="1" applyAlignment="1">
      <alignment horizontal="center" wrapText="1"/>
      <protection/>
    </xf>
    <xf numFmtId="0" fontId="33" fillId="0" borderId="0" xfId="52" applyFont="1" applyAlignment="1">
      <alignment horizontal="right"/>
      <protection/>
    </xf>
    <xf numFmtId="0" fontId="16" fillId="0" borderId="64" xfId="52" applyFont="1" applyBorder="1" applyAlignment="1">
      <alignment horizontal="center" vertical="center"/>
      <protection/>
    </xf>
    <xf numFmtId="0" fontId="16" fillId="0" borderId="63" xfId="52" applyFont="1" applyBorder="1" applyAlignment="1">
      <alignment horizontal="center" vertical="center" wrapText="1"/>
      <protection/>
    </xf>
    <xf numFmtId="0" fontId="16" fillId="0" borderId="65" xfId="52" applyFont="1" applyBorder="1" applyAlignment="1">
      <alignment horizontal="center" vertical="center"/>
      <protection/>
    </xf>
    <xf numFmtId="0" fontId="16" fillId="0" borderId="65" xfId="52" applyFont="1" applyBorder="1" applyAlignment="1">
      <alignment horizontal="center" vertical="center" wrapText="1"/>
      <protection/>
    </xf>
    <xf numFmtId="0" fontId="16" fillId="0" borderId="66" xfId="52" applyFont="1" applyBorder="1" applyAlignment="1">
      <alignment horizontal="center" vertical="center" wrapText="1"/>
      <protection/>
    </xf>
    <xf numFmtId="0" fontId="16" fillId="0" borderId="67" xfId="52" applyFont="1" applyBorder="1" applyAlignment="1">
      <alignment horizontal="center" vertical="center" wrapText="1"/>
      <protection/>
    </xf>
    <xf numFmtId="0" fontId="16" fillId="0" borderId="68" xfId="52" applyFont="1" applyBorder="1" applyAlignment="1">
      <alignment horizontal="center" vertical="center" wrapText="1"/>
      <protection/>
    </xf>
    <xf numFmtId="0" fontId="16" fillId="0" borderId="52" xfId="52" applyFont="1" applyBorder="1" applyAlignment="1">
      <alignment horizontal="center" vertical="center" wrapText="1"/>
      <protection/>
    </xf>
    <xf numFmtId="0" fontId="16" fillId="0" borderId="33" xfId="52" applyFont="1" applyBorder="1" applyAlignment="1">
      <alignment horizontal="center" vertical="center" wrapText="1"/>
      <protection/>
    </xf>
    <xf numFmtId="0" fontId="16" fillId="0" borderId="69" xfId="52" applyFont="1" applyBorder="1" applyAlignment="1">
      <alignment horizontal="center" vertical="center" wrapText="1"/>
      <protection/>
    </xf>
    <xf numFmtId="0" fontId="3" fillId="0" borderId="0" xfId="52" applyFont="1" applyAlignment="1">
      <alignment vertical="center" wrapText="1"/>
      <protection/>
    </xf>
    <xf numFmtId="3" fontId="16" fillId="0" borderId="59" xfId="52" applyNumberFormat="1" applyFont="1" applyBorder="1">
      <alignment/>
      <protection/>
    </xf>
    <xf numFmtId="0" fontId="16" fillId="0" borderId="70" xfId="52" applyFont="1" applyBorder="1" applyAlignment="1">
      <alignment horizontal="center"/>
      <protection/>
    </xf>
    <xf numFmtId="3" fontId="16" fillId="0" borderId="20" xfId="52" applyNumberFormat="1" applyFont="1" applyBorder="1" applyAlignment="1">
      <alignment horizontal="center"/>
      <protection/>
    </xf>
    <xf numFmtId="3" fontId="16" fillId="0" borderId="71" xfId="52" applyNumberFormat="1" applyFont="1" applyBorder="1" applyAlignment="1">
      <alignment horizontal="center"/>
      <protection/>
    </xf>
    <xf numFmtId="0" fontId="16" fillId="0" borderId="20" xfId="52" applyFont="1" applyBorder="1" applyAlignment="1">
      <alignment horizontal="center"/>
      <protection/>
    </xf>
    <xf numFmtId="172" fontId="16" fillId="0" borderId="20" xfId="52" applyNumberFormat="1" applyFont="1" applyBorder="1">
      <alignment/>
      <protection/>
    </xf>
    <xf numFmtId="172" fontId="16" fillId="0" borderId="57" xfId="52" applyNumberFormat="1" applyFont="1" applyBorder="1">
      <alignment/>
      <protection/>
    </xf>
    <xf numFmtId="172" fontId="16" fillId="0" borderId="72" xfId="52" applyNumberFormat="1" applyFont="1" applyBorder="1">
      <alignment/>
      <protection/>
    </xf>
    <xf numFmtId="0" fontId="16" fillId="0" borderId="45" xfId="52" applyFont="1" applyBorder="1" applyAlignment="1">
      <alignment horizontal="center"/>
      <protection/>
    </xf>
    <xf numFmtId="3" fontId="16" fillId="0" borderId="34" xfId="52" applyNumberFormat="1" applyFont="1" applyBorder="1" applyAlignment="1">
      <alignment horizontal="center"/>
      <protection/>
    </xf>
    <xf numFmtId="3" fontId="16" fillId="0" borderId="35" xfId="52" applyNumberFormat="1" applyFont="1" applyBorder="1" applyAlignment="1">
      <alignment horizontal="center"/>
      <protection/>
    </xf>
    <xf numFmtId="0" fontId="16" fillId="0" borderId="35" xfId="52" applyFont="1" applyBorder="1" applyAlignment="1">
      <alignment horizontal="center"/>
      <protection/>
    </xf>
    <xf numFmtId="172" fontId="16" fillId="0" borderId="35" xfId="52" applyNumberFormat="1" applyFont="1" applyBorder="1">
      <alignment/>
      <protection/>
    </xf>
    <xf numFmtId="172" fontId="16" fillId="0" borderId="46" xfId="52" applyNumberFormat="1" applyFont="1" applyBorder="1">
      <alignment/>
      <protection/>
    </xf>
    <xf numFmtId="172" fontId="16" fillId="0" borderId="30" xfId="52" applyNumberFormat="1" applyFont="1" applyBorder="1">
      <alignment/>
      <protection/>
    </xf>
    <xf numFmtId="0" fontId="16" fillId="0" borderId="34" xfId="52" applyFont="1" applyBorder="1">
      <alignment/>
      <protection/>
    </xf>
    <xf numFmtId="0" fontId="16" fillId="0" borderId="35" xfId="52" applyFont="1" applyBorder="1">
      <alignment/>
      <protection/>
    </xf>
    <xf numFmtId="0" fontId="16" fillId="0" borderId="46" xfId="52" applyFont="1" applyBorder="1">
      <alignment/>
      <protection/>
    </xf>
    <xf numFmtId="0" fontId="16" fillId="0" borderId="60" xfId="52" applyFont="1" applyBorder="1">
      <alignment/>
      <protection/>
    </xf>
    <xf numFmtId="172" fontId="16" fillId="0" borderId="45" xfId="52" applyNumberFormat="1" applyFont="1" applyBorder="1">
      <alignment/>
      <protection/>
    </xf>
    <xf numFmtId="4" fontId="16" fillId="0" borderId="60" xfId="52" applyNumberFormat="1" applyFont="1" applyBorder="1">
      <alignment/>
      <protection/>
    </xf>
    <xf numFmtId="172" fontId="16" fillId="4" borderId="60" xfId="52" applyNumberFormat="1" applyFont="1" applyFill="1" applyBorder="1">
      <alignment/>
      <protection/>
    </xf>
    <xf numFmtId="0" fontId="16" fillId="0" borderId="61" xfId="52" applyFont="1" applyBorder="1" applyAlignment="1">
      <alignment horizontal="center"/>
      <protection/>
    </xf>
    <xf numFmtId="3" fontId="16" fillId="0" borderId="10" xfId="52" applyNumberFormat="1" applyFont="1" applyBorder="1" applyAlignment="1">
      <alignment horizontal="center"/>
      <protection/>
    </xf>
    <xf numFmtId="3" fontId="16" fillId="0" borderId="18" xfId="52" applyNumberFormat="1" applyFont="1" applyBorder="1" applyAlignment="1">
      <alignment horizontal="center"/>
      <protection/>
    </xf>
    <xf numFmtId="0" fontId="16" fillId="0" borderId="10" xfId="52" applyFont="1" applyBorder="1" applyAlignment="1">
      <alignment horizontal="center"/>
      <protection/>
    </xf>
    <xf numFmtId="172" fontId="16" fillId="0" borderId="10" xfId="52" applyNumberFormat="1" applyFont="1" applyBorder="1">
      <alignment/>
      <protection/>
    </xf>
    <xf numFmtId="172" fontId="16" fillId="0" borderId="27" xfId="52" applyNumberFormat="1" applyFont="1" applyBorder="1">
      <alignment/>
      <protection/>
    </xf>
    <xf numFmtId="172" fontId="16" fillId="0" borderId="31" xfId="52" applyNumberFormat="1" applyFont="1" applyBorder="1">
      <alignment/>
      <protection/>
    </xf>
    <xf numFmtId="0" fontId="16" fillId="0" borderId="18" xfId="52" applyFont="1" applyBorder="1" applyAlignment="1">
      <alignment horizontal="center"/>
      <protection/>
    </xf>
    <xf numFmtId="3" fontId="16" fillId="0" borderId="13" xfId="52" applyNumberFormat="1" applyFont="1" applyBorder="1" applyAlignment="1">
      <alignment horizontal="center"/>
      <protection/>
    </xf>
    <xf numFmtId="0" fontId="16" fillId="0" borderId="13" xfId="52" applyFont="1" applyBorder="1">
      <alignment/>
      <protection/>
    </xf>
    <xf numFmtId="0" fontId="16" fillId="0" borderId="10" xfId="52" applyFont="1" applyBorder="1">
      <alignment/>
      <protection/>
    </xf>
    <xf numFmtId="0" fontId="16" fillId="0" borderId="27" xfId="52" applyFont="1" applyBorder="1" applyAlignment="1">
      <alignment horizontal="center"/>
      <protection/>
    </xf>
    <xf numFmtId="165" fontId="16" fillId="0" borderId="23" xfId="52" applyNumberFormat="1" applyFont="1" applyBorder="1">
      <alignment/>
      <protection/>
    </xf>
    <xf numFmtId="172" fontId="16" fillId="0" borderId="18" xfId="52" applyNumberFormat="1" applyFont="1" applyBorder="1">
      <alignment/>
      <protection/>
    </xf>
    <xf numFmtId="3" fontId="16" fillId="0" borderId="11" xfId="52" applyNumberFormat="1" applyFont="1" applyBorder="1" applyAlignment="1">
      <alignment horizontal="center"/>
      <protection/>
    </xf>
    <xf numFmtId="3" fontId="16" fillId="0" borderId="28" xfId="52" applyNumberFormat="1" applyFont="1" applyBorder="1" applyAlignment="1">
      <alignment horizontal="center"/>
      <protection/>
    </xf>
    <xf numFmtId="0" fontId="16" fillId="0" borderId="11" xfId="52" applyFont="1" applyBorder="1" applyAlignment="1">
      <alignment horizontal="center"/>
      <protection/>
    </xf>
    <xf numFmtId="172" fontId="16" fillId="0" borderId="11" xfId="52" applyNumberFormat="1" applyFont="1" applyBorder="1">
      <alignment/>
      <protection/>
    </xf>
    <xf numFmtId="172" fontId="16" fillId="0" borderId="42" xfId="52" applyNumberFormat="1" applyFont="1" applyBorder="1">
      <alignment/>
      <protection/>
    </xf>
    <xf numFmtId="172" fontId="16" fillId="0" borderId="32" xfId="52" applyNumberFormat="1" applyFont="1" applyBorder="1">
      <alignment/>
      <protection/>
    </xf>
    <xf numFmtId="3" fontId="16" fillId="0" borderId="41" xfId="52" applyNumberFormat="1" applyFont="1" applyBorder="1" applyAlignment="1">
      <alignment horizontal="center"/>
      <protection/>
    </xf>
    <xf numFmtId="0" fontId="16" fillId="0" borderId="41" xfId="52" applyFont="1" applyBorder="1">
      <alignment/>
      <protection/>
    </xf>
    <xf numFmtId="0" fontId="16" fillId="0" borderId="11" xfId="52" applyFont="1" applyBorder="1">
      <alignment/>
      <protection/>
    </xf>
    <xf numFmtId="0" fontId="16" fillId="0" borderId="42" xfId="52" applyFont="1" applyBorder="1">
      <alignment/>
      <protection/>
    </xf>
    <xf numFmtId="165" fontId="16" fillId="0" borderId="24" xfId="52" applyNumberFormat="1" applyFont="1" applyBorder="1">
      <alignment/>
      <protection/>
    </xf>
    <xf numFmtId="172" fontId="16" fillId="0" borderId="28" xfId="52" applyNumberFormat="1" applyFont="1" applyBorder="1">
      <alignment/>
      <protection/>
    </xf>
    <xf numFmtId="4" fontId="16" fillId="0" borderId="73" xfId="52" applyNumberFormat="1" applyFont="1" applyBorder="1">
      <alignment/>
      <protection/>
    </xf>
    <xf numFmtId="0" fontId="45" fillId="0" borderId="63" xfId="52" applyFont="1" applyBorder="1">
      <alignment/>
      <protection/>
    </xf>
    <xf numFmtId="3" fontId="45" fillId="0" borderId="22" xfId="52" applyNumberFormat="1" applyFont="1" applyBorder="1" applyAlignment="1">
      <alignment horizontal="center"/>
      <protection/>
    </xf>
    <xf numFmtId="3" fontId="45" fillId="0" borderId="55" xfId="52" applyNumberFormat="1" applyFont="1" applyBorder="1" applyAlignment="1">
      <alignment horizontal="center"/>
      <protection/>
    </xf>
    <xf numFmtId="0" fontId="45" fillId="0" borderId="22" xfId="52" applyFont="1" applyBorder="1">
      <alignment/>
      <protection/>
    </xf>
    <xf numFmtId="172" fontId="45" fillId="0" borderId="22" xfId="52" applyNumberFormat="1" applyFont="1" applyBorder="1">
      <alignment/>
      <protection/>
    </xf>
    <xf numFmtId="172" fontId="45" fillId="0" borderId="38" xfId="52" applyNumberFormat="1" applyFont="1" applyBorder="1">
      <alignment/>
      <protection/>
    </xf>
    <xf numFmtId="172" fontId="45" fillId="0" borderId="33" xfId="52" applyNumberFormat="1" applyFont="1" applyBorder="1">
      <alignment/>
      <protection/>
    </xf>
    <xf numFmtId="172" fontId="45" fillId="0" borderId="63" xfId="52" applyNumberFormat="1" applyFont="1" applyBorder="1" applyAlignment="1">
      <alignment horizontal="center"/>
      <protection/>
    </xf>
    <xf numFmtId="3" fontId="45" fillId="0" borderId="17" xfId="52" applyNumberFormat="1" applyFont="1" applyBorder="1" applyAlignment="1">
      <alignment horizontal="center"/>
      <protection/>
    </xf>
    <xf numFmtId="0" fontId="45" fillId="0" borderId="22" xfId="52" applyFont="1" applyBorder="1" applyAlignment="1">
      <alignment horizontal="center"/>
      <protection/>
    </xf>
    <xf numFmtId="0" fontId="45" fillId="0" borderId="17" xfId="52" applyFont="1" applyBorder="1">
      <alignment/>
      <protection/>
    </xf>
    <xf numFmtId="0" fontId="12" fillId="0" borderId="22" xfId="52" applyFont="1" applyBorder="1">
      <alignment/>
      <protection/>
    </xf>
    <xf numFmtId="3" fontId="45" fillId="0" borderId="22" xfId="52" applyNumberFormat="1" applyFont="1" applyBorder="1">
      <alignment/>
      <protection/>
    </xf>
    <xf numFmtId="3" fontId="45" fillId="0" borderId="38" xfId="52" applyNumberFormat="1" applyFont="1" applyBorder="1">
      <alignment/>
      <protection/>
    </xf>
    <xf numFmtId="3" fontId="45" fillId="0" borderId="38" xfId="52" applyNumberFormat="1" applyFont="1" applyBorder="1" applyAlignment="1">
      <alignment horizontal="center"/>
      <protection/>
    </xf>
    <xf numFmtId="172" fontId="45" fillId="0" borderId="25" xfId="52" applyNumberFormat="1" applyFont="1" applyBorder="1">
      <alignment/>
      <protection/>
    </xf>
    <xf numFmtId="3" fontId="45" fillId="0" borderId="56" xfId="52" applyNumberFormat="1" applyFont="1" applyBorder="1">
      <alignment/>
      <protection/>
    </xf>
    <xf numFmtId="4" fontId="45" fillId="0" borderId="33" xfId="52" applyNumberFormat="1" applyFont="1" applyBorder="1">
      <alignment/>
      <protection/>
    </xf>
    <xf numFmtId="172" fontId="45" fillId="4" borderId="33" xfId="52" applyNumberFormat="1" applyFont="1" applyFill="1" applyBorder="1">
      <alignment/>
      <protection/>
    </xf>
    <xf numFmtId="4" fontId="33" fillId="0" borderId="0" xfId="52" applyNumberFormat="1" applyFont="1">
      <alignment/>
      <protection/>
    </xf>
    <xf numFmtId="0" fontId="42" fillId="0" borderId="0" xfId="0" applyFont="1" applyAlignment="1">
      <alignment/>
    </xf>
    <xf numFmtId="2" fontId="113" fillId="0" borderId="0" xfId="0" applyNumberFormat="1" applyFont="1" applyAlignment="1">
      <alignment horizontal="center" wrapText="1"/>
    </xf>
    <xf numFmtId="0" fontId="42" fillId="0" borderId="0" xfId="0" applyFont="1" applyBorder="1" applyAlignment="1">
      <alignment horizontal="right"/>
    </xf>
    <xf numFmtId="0" fontId="44" fillId="0" borderId="34" xfId="52" applyFont="1" applyBorder="1" applyAlignment="1">
      <alignment horizontal="center" vertical="top" wrapText="1"/>
      <protection/>
    </xf>
    <xf numFmtId="0" fontId="44" fillId="0" borderId="35" xfId="52" applyFont="1" applyBorder="1" applyAlignment="1">
      <alignment horizontal="center" vertical="top" wrapText="1"/>
      <protection/>
    </xf>
    <xf numFmtId="0" fontId="44" fillId="0" borderId="46" xfId="52" applyFont="1" applyBorder="1" applyAlignment="1">
      <alignment horizontal="center" vertical="top" wrapText="1"/>
      <protection/>
    </xf>
    <xf numFmtId="0" fontId="43" fillId="35" borderId="59" xfId="52" applyFont="1" applyFill="1" applyBorder="1" applyAlignment="1">
      <alignment horizontal="center" vertical="top" wrapText="1"/>
      <protection/>
    </xf>
    <xf numFmtId="0" fontId="43" fillId="35" borderId="30" xfId="52" applyFont="1" applyFill="1" applyBorder="1" applyAlignment="1">
      <alignment horizontal="center" vertical="top" wrapText="1"/>
      <protection/>
    </xf>
    <xf numFmtId="0" fontId="43" fillId="35" borderId="40" xfId="52" applyFont="1" applyFill="1" applyBorder="1" applyAlignment="1">
      <alignment horizontal="center" vertical="top" wrapText="1"/>
      <protection/>
    </xf>
    <xf numFmtId="0" fontId="43" fillId="0" borderId="50" xfId="52" applyFont="1" applyBorder="1" applyAlignment="1">
      <alignment horizontal="center" vertical="center" wrapText="1"/>
      <protection/>
    </xf>
    <xf numFmtId="0" fontId="44" fillId="0" borderId="36" xfId="52" applyFont="1" applyBorder="1" applyAlignment="1">
      <alignment horizontal="center" vertical="top" wrapText="1"/>
      <protection/>
    </xf>
    <xf numFmtId="0" fontId="44" fillId="0" borderId="37" xfId="52" applyFont="1" applyBorder="1" applyAlignment="1">
      <alignment horizontal="center" vertical="top" wrapText="1"/>
      <protection/>
    </xf>
    <xf numFmtId="0" fontId="44" fillId="0" borderId="74" xfId="52" applyFont="1" applyBorder="1" applyAlignment="1">
      <alignment horizontal="center" vertical="top" wrapText="1"/>
      <protection/>
    </xf>
    <xf numFmtId="0" fontId="43" fillId="35" borderId="75" xfId="52" applyFont="1" applyFill="1" applyBorder="1" applyAlignment="1">
      <alignment horizontal="center" vertical="top" wrapText="1"/>
      <protection/>
    </xf>
    <xf numFmtId="0" fontId="43" fillId="35" borderId="49" xfId="52" applyFont="1" applyFill="1" applyBorder="1" applyAlignment="1">
      <alignment horizontal="center" vertical="top" wrapText="1"/>
      <protection/>
    </xf>
    <xf numFmtId="0" fontId="43" fillId="35" borderId="76" xfId="52" applyFont="1" applyFill="1" applyBorder="1" applyAlignment="1">
      <alignment horizontal="center" vertical="top" wrapText="1"/>
      <protection/>
    </xf>
    <xf numFmtId="0" fontId="110" fillId="0" borderId="30" xfId="0" applyFont="1" applyBorder="1" applyAlignment="1">
      <alignment/>
    </xf>
    <xf numFmtId="0" fontId="110" fillId="0" borderId="47" xfId="0" applyFont="1" applyBorder="1" applyAlignment="1">
      <alignment horizontal="center"/>
    </xf>
    <xf numFmtId="165" fontId="110" fillId="0" borderId="34" xfId="0" applyNumberFormat="1" applyFont="1" applyBorder="1" applyAlignment="1">
      <alignment horizontal="center"/>
    </xf>
    <xf numFmtId="165" fontId="110" fillId="0" borderId="35" xfId="0" applyNumberFormat="1" applyFont="1" applyBorder="1" applyAlignment="1">
      <alignment horizontal="center"/>
    </xf>
    <xf numFmtId="165" fontId="110" fillId="0" borderId="46" xfId="0" applyNumberFormat="1" applyFont="1" applyBorder="1" applyAlignment="1">
      <alignment horizontal="center"/>
    </xf>
    <xf numFmtId="172" fontId="43" fillId="35" borderId="59" xfId="52" applyNumberFormat="1" applyFont="1" applyFill="1" applyBorder="1" applyAlignment="1">
      <alignment horizontal="center"/>
      <protection/>
    </xf>
    <xf numFmtId="172" fontId="43" fillId="35" borderId="30" xfId="52" applyNumberFormat="1" applyFont="1" applyFill="1" applyBorder="1" applyAlignment="1">
      <alignment horizontal="center"/>
      <protection/>
    </xf>
    <xf numFmtId="172" fontId="43" fillId="35" borderId="40" xfId="52" applyNumberFormat="1" applyFont="1" applyFill="1" applyBorder="1" applyAlignment="1">
      <alignment horizontal="center"/>
      <protection/>
    </xf>
    <xf numFmtId="0" fontId="110" fillId="0" borderId="31" xfId="0" applyFont="1" applyBorder="1" applyAlignment="1">
      <alignment/>
    </xf>
    <xf numFmtId="0" fontId="110" fillId="0" borderId="48" xfId="0" applyFont="1" applyBorder="1" applyAlignment="1">
      <alignment horizontal="center"/>
    </xf>
    <xf numFmtId="165" fontId="110" fillId="0" borderId="13" xfId="0" applyNumberFormat="1" applyFont="1" applyBorder="1" applyAlignment="1">
      <alignment horizontal="center"/>
    </xf>
    <xf numFmtId="165" fontId="110" fillId="0" borderId="10" xfId="0" applyNumberFormat="1" applyFont="1" applyBorder="1" applyAlignment="1">
      <alignment horizontal="center"/>
    </xf>
    <xf numFmtId="165" fontId="110" fillId="0" borderId="27" xfId="0" applyNumberFormat="1" applyFont="1" applyBorder="1" applyAlignment="1">
      <alignment horizontal="center"/>
    </xf>
    <xf numFmtId="172" fontId="43" fillId="35" borderId="61" xfId="52" applyNumberFormat="1" applyFont="1" applyFill="1" applyBorder="1" applyAlignment="1">
      <alignment horizontal="center"/>
      <protection/>
    </xf>
    <xf numFmtId="172" fontId="43" fillId="35" borderId="31" xfId="52" applyNumberFormat="1" applyFont="1" applyFill="1" applyBorder="1" applyAlignment="1">
      <alignment horizontal="center"/>
      <protection/>
    </xf>
    <xf numFmtId="172" fontId="43" fillId="35" borderId="77" xfId="52" applyNumberFormat="1" applyFont="1" applyFill="1" applyBorder="1" applyAlignment="1">
      <alignment horizontal="center"/>
      <protection/>
    </xf>
    <xf numFmtId="0" fontId="110" fillId="0" borderId="32" xfId="0" applyFont="1" applyBorder="1" applyAlignment="1">
      <alignment/>
    </xf>
    <xf numFmtId="0" fontId="110" fillId="0" borderId="54" xfId="0" applyFont="1" applyBorder="1" applyAlignment="1">
      <alignment horizontal="center"/>
    </xf>
    <xf numFmtId="165" fontId="110" fillId="0" borderId="42" xfId="0" applyNumberFormat="1" applyFont="1" applyBorder="1" applyAlignment="1">
      <alignment horizontal="center"/>
    </xf>
    <xf numFmtId="172" fontId="43" fillId="35" borderId="62" xfId="52" applyNumberFormat="1" applyFont="1" applyFill="1" applyBorder="1" applyAlignment="1">
      <alignment horizontal="center"/>
      <protection/>
    </xf>
    <xf numFmtId="172" fontId="43" fillId="35" borderId="32" xfId="52" applyNumberFormat="1" applyFont="1" applyFill="1" applyBorder="1" applyAlignment="1">
      <alignment horizontal="center"/>
      <protection/>
    </xf>
    <xf numFmtId="0" fontId="43" fillId="35" borderId="33" xfId="52" applyFont="1" applyFill="1" applyBorder="1">
      <alignment/>
      <protection/>
    </xf>
    <xf numFmtId="0" fontId="43" fillId="35" borderId="56" xfId="52" applyFont="1" applyFill="1" applyBorder="1" applyAlignment="1">
      <alignment horizontal="center"/>
      <protection/>
    </xf>
    <xf numFmtId="165" fontId="43" fillId="35" borderId="17" xfId="52" applyNumberFormat="1" applyFont="1" applyFill="1" applyBorder="1">
      <alignment/>
      <protection/>
    </xf>
    <xf numFmtId="165" fontId="43" fillId="35" borderId="22" xfId="52" applyNumberFormat="1" applyFont="1" applyFill="1" applyBorder="1" applyAlignment="1">
      <alignment horizontal="center"/>
      <protection/>
    </xf>
    <xf numFmtId="165" fontId="43" fillId="35" borderId="38" xfId="52" applyNumberFormat="1" applyFont="1" applyFill="1" applyBorder="1" applyAlignment="1">
      <alignment horizontal="center"/>
      <protection/>
    </xf>
    <xf numFmtId="172" fontId="43" fillId="35" borderId="63" xfId="52" applyNumberFormat="1" applyFont="1" applyFill="1" applyBorder="1" applyAlignment="1">
      <alignment horizontal="center"/>
      <protection/>
    </xf>
    <xf numFmtId="172" fontId="43" fillId="35" borderId="33" xfId="52" applyNumberFormat="1" applyFont="1" applyFill="1" applyBorder="1" applyAlignment="1">
      <alignment horizontal="center"/>
      <protection/>
    </xf>
    <xf numFmtId="0" fontId="34" fillId="0" borderId="0" xfId="0" applyFont="1" applyAlignment="1">
      <alignment/>
    </xf>
    <xf numFmtId="0" fontId="44" fillId="35" borderId="70" xfId="52" applyFont="1" applyFill="1" applyBorder="1" applyAlignment="1">
      <alignment horizontal="center" vertical="top" wrapText="1"/>
      <protection/>
    </xf>
    <xf numFmtId="0" fontId="44" fillId="35" borderId="72" xfId="52" applyFont="1" applyFill="1" applyBorder="1" applyAlignment="1">
      <alignment horizontal="center" vertical="top" wrapText="1"/>
      <protection/>
    </xf>
    <xf numFmtId="0" fontId="43" fillId="0" borderId="13" xfId="52" applyFont="1" applyBorder="1" applyAlignment="1">
      <alignment horizontal="center" vertical="center" wrapText="1"/>
      <protection/>
    </xf>
    <xf numFmtId="0" fontId="44" fillId="0" borderId="10" xfId="52" applyFont="1" applyBorder="1" applyAlignment="1">
      <alignment horizontal="center" vertical="top" wrapText="1"/>
      <protection/>
    </xf>
    <xf numFmtId="0" fontId="44" fillId="0" borderId="27" xfId="52" applyFont="1" applyBorder="1" applyAlignment="1">
      <alignment horizontal="center" vertical="top" wrapText="1"/>
      <protection/>
    </xf>
    <xf numFmtId="0" fontId="44" fillId="35" borderId="61" xfId="52" applyFont="1" applyFill="1" applyBorder="1" applyAlignment="1">
      <alignment horizontal="center" vertical="top" wrapText="1"/>
      <protection/>
    </xf>
    <xf numFmtId="0" fontId="44" fillId="35" borderId="31" xfId="52" applyFont="1" applyFill="1" applyBorder="1" applyAlignment="1">
      <alignment horizontal="center" vertical="top" wrapText="1"/>
      <protection/>
    </xf>
    <xf numFmtId="0" fontId="37" fillId="0" borderId="17" xfId="52" applyFont="1" applyBorder="1">
      <alignment/>
      <protection/>
    </xf>
    <xf numFmtId="165" fontId="37" fillId="0" borderId="22" xfId="52" applyNumberFormat="1" applyFont="1" applyBorder="1">
      <alignment/>
      <protection/>
    </xf>
    <xf numFmtId="165" fontId="37" fillId="0" borderId="22" xfId="52" applyNumberFormat="1" applyFont="1" applyBorder="1" applyAlignment="1">
      <alignment horizontal="center"/>
      <protection/>
    </xf>
    <xf numFmtId="165" fontId="37" fillId="0" borderId="38" xfId="52" applyNumberFormat="1" applyFont="1" applyBorder="1" applyAlignment="1">
      <alignment horizontal="center"/>
      <protection/>
    </xf>
    <xf numFmtId="172" fontId="37" fillId="35" borderId="63" xfId="52" applyNumberFormat="1" applyFont="1" applyFill="1" applyBorder="1" applyAlignment="1">
      <alignment horizontal="center"/>
      <protection/>
    </xf>
    <xf numFmtId="172" fontId="37" fillId="35" borderId="33" xfId="52" applyNumberFormat="1" applyFont="1" applyFill="1" applyBorder="1" applyAlignment="1">
      <alignment horizontal="center"/>
      <protection/>
    </xf>
    <xf numFmtId="0" fontId="44" fillId="0" borderId="0" xfId="0" applyFont="1" applyBorder="1" applyAlignment="1">
      <alignment horizontal="right"/>
    </xf>
    <xf numFmtId="2" fontId="114" fillId="0" borderId="0" xfId="0" applyNumberFormat="1" applyFont="1" applyAlignment="1">
      <alignment horizontal="center" vertical="top" wrapText="1"/>
    </xf>
    <xf numFmtId="172" fontId="110" fillId="0" borderId="10" xfId="0" applyNumberFormat="1" applyFont="1" applyBorder="1" applyAlignment="1">
      <alignment horizontal="center"/>
    </xf>
    <xf numFmtId="172" fontId="110" fillId="35" borderId="61" xfId="0" applyNumberFormat="1" applyFont="1" applyFill="1" applyBorder="1" applyAlignment="1">
      <alignment horizontal="center"/>
    </xf>
    <xf numFmtId="172" fontId="110" fillId="35" borderId="31" xfId="0" applyNumberFormat="1" applyFont="1" applyFill="1" applyBorder="1" applyAlignment="1">
      <alignment horizontal="center"/>
    </xf>
    <xf numFmtId="0" fontId="44" fillId="0" borderId="13" xfId="52" applyFont="1" applyBorder="1" applyAlignment="1">
      <alignment horizontal="left" vertical="center" wrapText="1"/>
      <protection/>
    </xf>
    <xf numFmtId="172" fontId="44" fillId="35" borderId="31" xfId="52" applyNumberFormat="1" applyFont="1" applyFill="1" applyBorder="1" applyAlignment="1">
      <alignment horizontal="center" wrapText="1"/>
      <protection/>
    </xf>
    <xf numFmtId="0" fontId="37" fillId="0" borderId="0" xfId="52" applyFont="1" applyAlignment="1">
      <alignment/>
      <protection/>
    </xf>
    <xf numFmtId="0" fontId="43" fillId="0" borderId="0" xfId="52" applyFont="1" applyAlignment="1">
      <alignment/>
      <protection/>
    </xf>
    <xf numFmtId="0" fontId="44" fillId="0" borderId="0" xfId="52" applyFont="1" applyAlignment="1">
      <alignment/>
      <protection/>
    </xf>
    <xf numFmtId="0" fontId="37" fillId="0" borderId="0" xfId="52" applyFont="1" applyAlignment="1">
      <alignment wrapText="1"/>
      <protection/>
    </xf>
    <xf numFmtId="0" fontId="43" fillId="0" borderId="0" xfId="52" applyFont="1" applyAlignment="1">
      <alignment wrapText="1"/>
      <protection/>
    </xf>
    <xf numFmtId="0" fontId="44" fillId="0" borderId="0" xfId="52" applyFont="1" applyAlignment="1">
      <alignment wrapText="1"/>
      <protection/>
    </xf>
    <xf numFmtId="0" fontId="44" fillId="0" borderId="63" xfId="52" applyFont="1" applyBorder="1" applyAlignment="1">
      <alignment horizontal="center" vertical="center" wrapText="1"/>
      <protection/>
    </xf>
    <xf numFmtId="0" fontId="44" fillId="0" borderId="33" xfId="52" applyFont="1" applyBorder="1" applyAlignment="1">
      <alignment horizontal="center" vertical="center" wrapText="1"/>
      <protection/>
    </xf>
    <xf numFmtId="0" fontId="43" fillId="4" borderId="51" xfId="52" applyFont="1" applyFill="1" applyBorder="1" applyAlignment="1">
      <alignment horizontal="center" vertical="center" wrapText="1"/>
      <protection/>
    </xf>
    <xf numFmtId="0" fontId="110" fillId="0" borderId="0" xfId="0" applyFont="1" applyAlignment="1">
      <alignment wrapText="1"/>
    </xf>
    <xf numFmtId="0" fontId="44" fillId="0" borderId="64" xfId="52" applyFont="1" applyBorder="1" applyAlignment="1">
      <alignment horizontal="center"/>
      <protection/>
    </xf>
    <xf numFmtId="0" fontId="110" fillId="0" borderId="17" xfId="0" applyFont="1" applyBorder="1" applyAlignment="1">
      <alignment horizontal="center"/>
    </xf>
    <xf numFmtId="0" fontId="110" fillId="0" borderId="25" xfId="0" applyFont="1" applyBorder="1" applyAlignment="1">
      <alignment horizontal="center"/>
    </xf>
    <xf numFmtId="0" fontId="110" fillId="0" borderId="35" xfId="0" applyFont="1" applyBorder="1" applyAlignment="1">
      <alignment/>
    </xf>
    <xf numFmtId="0" fontId="110" fillId="0" borderId="60" xfId="0" applyFont="1" applyBorder="1" applyAlignment="1">
      <alignment/>
    </xf>
    <xf numFmtId="0" fontId="43" fillId="0" borderId="17" xfId="52" applyFont="1" applyBorder="1" applyAlignment="1">
      <alignment horizontal="center"/>
      <protection/>
    </xf>
    <xf numFmtId="0" fontId="43" fillId="0" borderId="22" xfId="52" applyFont="1" applyBorder="1" applyAlignment="1">
      <alignment horizontal="center" wrapText="1"/>
      <protection/>
    </xf>
    <xf numFmtId="43" fontId="43" fillId="0" borderId="22" xfId="62" applyFont="1" applyBorder="1" applyAlignment="1">
      <alignment horizontal="center" wrapText="1"/>
    </xf>
    <xf numFmtId="43" fontId="43" fillId="0" borderId="22" xfId="62" applyFont="1" applyBorder="1" applyAlignment="1">
      <alignment wrapText="1"/>
    </xf>
    <xf numFmtId="176" fontId="43" fillId="4" borderId="63" xfId="62" applyNumberFormat="1" applyFont="1" applyFill="1" applyBorder="1" applyAlignment="1">
      <alignment horizontal="center" wrapText="1"/>
    </xf>
    <xf numFmtId="0" fontId="113" fillId="0" borderId="0" xfId="0" applyFont="1" applyAlignment="1">
      <alignment/>
    </xf>
    <xf numFmtId="0" fontId="44" fillId="0" borderId="45" xfId="52" applyFont="1" applyBorder="1" applyAlignment="1">
      <alignment horizontal="left" wrapText="1"/>
      <protection/>
    </xf>
    <xf numFmtId="0" fontId="44" fillId="0" borderId="35" xfId="52" applyFont="1" applyBorder="1" applyAlignment="1">
      <alignment horizontal="center" wrapText="1"/>
      <protection/>
    </xf>
    <xf numFmtId="43" fontId="44" fillId="0" borderId="35" xfId="62" applyFont="1" applyBorder="1" applyAlignment="1">
      <alignment horizontal="center"/>
    </xf>
    <xf numFmtId="43" fontId="44" fillId="0" borderId="35" xfId="62" applyFont="1" applyBorder="1" applyAlignment="1">
      <alignment horizontal="center" wrapText="1"/>
    </xf>
    <xf numFmtId="43" fontId="44" fillId="0" borderId="35" xfId="62" applyNumberFormat="1" applyFont="1" applyBorder="1" applyAlignment="1">
      <alignment horizontal="center" wrapText="1"/>
    </xf>
    <xf numFmtId="176" fontId="44" fillId="0" borderId="35" xfId="62" applyNumberFormat="1" applyFont="1" applyBorder="1" applyAlignment="1">
      <alignment horizontal="center"/>
    </xf>
    <xf numFmtId="0" fontId="44" fillId="0" borderId="18" xfId="52" applyFont="1" applyBorder="1" applyAlignment="1">
      <alignment horizontal="left" wrapText="1"/>
      <protection/>
    </xf>
    <xf numFmtId="0" fontId="44" fillId="0" borderId="10" xfId="52" applyFont="1" applyBorder="1" applyAlignment="1">
      <alignment horizontal="center" wrapText="1"/>
      <protection/>
    </xf>
    <xf numFmtId="43" fontId="44" fillId="0" borderId="10" xfId="62" applyFont="1" applyBorder="1" applyAlignment="1">
      <alignment horizontal="center"/>
    </xf>
    <xf numFmtId="43" fontId="44" fillId="0" borderId="10" xfId="62" applyFont="1" applyBorder="1" applyAlignment="1">
      <alignment horizontal="center" wrapText="1"/>
    </xf>
    <xf numFmtId="176" fontId="44" fillId="0" borderId="10" xfId="62" applyNumberFormat="1" applyFont="1" applyBorder="1" applyAlignment="1">
      <alignment horizontal="center"/>
    </xf>
    <xf numFmtId="0" fontId="44" fillId="0" borderId="29" xfId="52" applyFont="1" applyBorder="1" applyAlignment="1">
      <alignment horizontal="left" wrapText="1"/>
      <protection/>
    </xf>
    <xf numFmtId="0" fontId="44" fillId="0" borderId="37" xfId="52" applyFont="1" applyBorder="1" applyAlignment="1">
      <alignment horizontal="center" wrapText="1"/>
      <protection/>
    </xf>
    <xf numFmtId="43" fontId="44" fillId="0" borderId="37" xfId="62" applyFont="1" applyBorder="1" applyAlignment="1">
      <alignment horizontal="center"/>
    </xf>
    <xf numFmtId="43" fontId="44" fillId="0" borderId="37" xfId="62" applyFont="1" applyBorder="1" applyAlignment="1">
      <alignment horizontal="center" wrapText="1"/>
    </xf>
    <xf numFmtId="43" fontId="44" fillId="0" borderId="22" xfId="62" applyFont="1" applyBorder="1" applyAlignment="1">
      <alignment horizontal="center"/>
    </xf>
    <xf numFmtId="43" fontId="44" fillId="0" borderId="22" xfId="62" applyFont="1" applyBorder="1" applyAlignment="1">
      <alignment horizontal="center" wrapText="1"/>
    </xf>
    <xf numFmtId="0" fontId="44" fillId="0" borderId="11" xfId="52" applyFont="1" applyBorder="1" applyAlignment="1">
      <alignment horizontal="center" wrapText="1"/>
      <protection/>
    </xf>
    <xf numFmtId="43" fontId="44" fillId="0" borderId="11" xfId="62" applyFont="1" applyBorder="1" applyAlignment="1">
      <alignment horizontal="center"/>
    </xf>
    <xf numFmtId="43" fontId="44" fillId="0" borderId="11" xfId="62" applyFont="1" applyBorder="1" applyAlignment="1">
      <alignment horizontal="center" wrapText="1"/>
    </xf>
    <xf numFmtId="0" fontId="43" fillId="4" borderId="33" xfId="52" applyFont="1" applyFill="1" applyBorder="1">
      <alignment/>
      <protection/>
    </xf>
    <xf numFmtId="0" fontId="43" fillId="4" borderId="56" xfId="52" applyFont="1" applyFill="1" applyBorder="1">
      <alignment/>
      <protection/>
    </xf>
    <xf numFmtId="3" fontId="43" fillId="4" borderId="22" xfId="52" applyNumberFormat="1" applyFont="1" applyFill="1" applyBorder="1" applyAlignment="1">
      <alignment horizontal="center"/>
      <protection/>
    </xf>
    <xf numFmtId="0" fontId="43" fillId="4" borderId="22" xfId="52" applyFont="1" applyFill="1" applyBorder="1">
      <alignment/>
      <protection/>
    </xf>
    <xf numFmtId="0" fontId="43" fillId="4" borderId="55" xfId="52" applyFont="1" applyFill="1" applyBorder="1">
      <alignment/>
      <protection/>
    </xf>
    <xf numFmtId="0" fontId="43" fillId="0" borderId="0" xfId="52" applyFont="1">
      <alignment/>
      <protection/>
    </xf>
    <xf numFmtId="0" fontId="15" fillId="0" borderId="0" xfId="52" applyFont="1" applyAlignment="1">
      <alignment/>
      <protection/>
    </xf>
    <xf numFmtId="0" fontId="34" fillId="0" borderId="0" xfId="52" applyFont="1">
      <alignment/>
      <protection/>
    </xf>
    <xf numFmtId="0" fontId="46" fillId="0" borderId="0" xfId="52" applyFont="1" applyAlignment="1">
      <alignment horizontal="center"/>
      <protection/>
    </xf>
    <xf numFmtId="0" fontId="34" fillId="0" borderId="0" xfId="52" applyFont="1" applyAlignment="1">
      <alignment/>
      <protection/>
    </xf>
    <xf numFmtId="0" fontId="33" fillId="0" borderId="63" xfId="52" applyFont="1" applyBorder="1" applyAlignment="1">
      <alignment horizontal="center"/>
      <protection/>
    </xf>
    <xf numFmtId="0" fontId="33" fillId="4" borderId="78" xfId="52" applyFont="1" applyFill="1" applyBorder="1" applyAlignment="1">
      <alignment horizontal="center"/>
      <protection/>
    </xf>
    <xf numFmtId="0" fontId="33" fillId="4" borderId="65" xfId="52" applyFont="1" applyFill="1" applyBorder="1" applyAlignment="1">
      <alignment horizontal="center"/>
      <protection/>
    </xf>
    <xf numFmtId="0" fontId="33" fillId="4" borderId="78" xfId="52" applyFont="1" applyFill="1" applyBorder="1" applyAlignment="1">
      <alignment horizontal="center" wrapText="1"/>
      <protection/>
    </xf>
    <xf numFmtId="0" fontId="33" fillId="4" borderId="53" xfId="52" applyFont="1" applyFill="1" applyBorder="1" applyAlignment="1">
      <alignment horizontal="center" wrapText="1"/>
      <protection/>
    </xf>
    <xf numFmtId="0" fontId="33" fillId="4" borderId="79" xfId="52" applyFont="1" applyFill="1" applyBorder="1" applyAlignment="1">
      <alignment horizontal="center"/>
      <protection/>
    </xf>
    <xf numFmtId="0" fontId="33" fillId="4" borderId="68" xfId="52" applyFont="1" applyFill="1" applyBorder="1" applyAlignment="1">
      <alignment horizontal="center"/>
      <protection/>
    </xf>
    <xf numFmtId="0" fontId="46" fillId="4" borderId="0" xfId="52" applyFont="1" applyFill="1" applyBorder="1" applyAlignment="1">
      <alignment horizontal="center" wrapText="1"/>
      <protection/>
    </xf>
    <xf numFmtId="0" fontId="33" fillId="0" borderId="59" xfId="52" applyFont="1" applyBorder="1" applyAlignment="1">
      <alignment horizontal="left" wrapText="1"/>
      <protection/>
    </xf>
    <xf numFmtId="2" fontId="33" fillId="0" borderId="59" xfId="52" applyNumberFormat="1" applyFont="1" applyBorder="1" applyAlignment="1">
      <alignment horizontal="center" wrapText="1"/>
      <protection/>
    </xf>
    <xf numFmtId="0" fontId="33" fillId="0" borderId="59" xfId="52" applyFont="1" applyBorder="1" applyAlignment="1">
      <alignment horizontal="center" wrapText="1"/>
      <protection/>
    </xf>
    <xf numFmtId="164" fontId="33" fillId="0" borderId="61" xfId="52" applyNumberFormat="1" applyFont="1" applyBorder="1" applyAlignment="1">
      <alignment horizontal="center" wrapText="1"/>
      <protection/>
    </xf>
    <xf numFmtId="172" fontId="33" fillId="0" borderId="59" xfId="52" applyNumberFormat="1" applyFont="1" applyBorder="1" applyAlignment="1">
      <alignment horizontal="right" wrapText="1"/>
      <protection/>
    </xf>
    <xf numFmtId="172" fontId="33" fillId="0" borderId="30" xfId="52" applyNumberFormat="1" applyFont="1" applyFill="1" applyBorder="1" applyAlignment="1">
      <alignment horizontal="right"/>
      <protection/>
    </xf>
    <xf numFmtId="3" fontId="37" fillId="4" borderId="0" xfId="52" applyNumberFormat="1" applyFont="1" applyFill="1" applyBorder="1" applyAlignment="1">
      <alignment horizontal="right"/>
      <protection/>
    </xf>
    <xf numFmtId="3" fontId="34" fillId="0" borderId="0" xfId="52" applyNumberFormat="1" applyFont="1">
      <alignment/>
      <protection/>
    </xf>
    <xf numFmtId="2" fontId="34" fillId="0" borderId="0" xfId="52" applyNumberFormat="1" applyFont="1">
      <alignment/>
      <protection/>
    </xf>
    <xf numFmtId="0" fontId="33" fillId="0" borderId="61" xfId="52" applyFont="1" applyBorder="1" applyAlignment="1">
      <alignment horizontal="left" wrapText="1"/>
      <protection/>
    </xf>
    <xf numFmtId="165" fontId="33" fillId="0" borderId="61" xfId="52" applyNumberFormat="1" applyFont="1" applyBorder="1" applyAlignment="1">
      <alignment horizontal="center" wrapText="1"/>
      <protection/>
    </xf>
    <xf numFmtId="0" fontId="33" fillId="0" borderId="61" xfId="52" applyFont="1" applyBorder="1" applyAlignment="1">
      <alignment horizontal="center" wrapText="1"/>
      <protection/>
    </xf>
    <xf numFmtId="0" fontId="33" fillId="0" borderId="62" xfId="52" applyFont="1" applyBorder="1" applyAlignment="1">
      <alignment horizontal="left" wrapText="1"/>
      <protection/>
    </xf>
    <xf numFmtId="164" fontId="33" fillId="0" borderId="62" xfId="52" applyNumberFormat="1" applyFont="1" applyBorder="1" applyAlignment="1">
      <alignment horizontal="center" wrapText="1"/>
      <protection/>
    </xf>
    <xf numFmtId="165" fontId="33" fillId="0" borderId="62" xfId="52" applyNumberFormat="1" applyFont="1" applyBorder="1" applyAlignment="1">
      <alignment horizontal="center" wrapText="1"/>
      <protection/>
    </xf>
    <xf numFmtId="0" fontId="33" fillId="0" borderId="62" xfId="52" applyFont="1" applyBorder="1" applyAlignment="1">
      <alignment horizontal="center" wrapText="1"/>
      <protection/>
    </xf>
    <xf numFmtId="172" fontId="37" fillId="4" borderId="33" xfId="52" applyNumberFormat="1" applyFont="1" applyFill="1" applyBorder="1" applyAlignment="1">
      <alignment horizontal="right"/>
      <protection/>
    </xf>
    <xf numFmtId="4" fontId="37" fillId="4" borderId="33" xfId="52" applyNumberFormat="1" applyFont="1" applyFill="1" applyBorder="1" applyAlignment="1">
      <alignment horizontal="right"/>
      <protection/>
    </xf>
    <xf numFmtId="43" fontId="34" fillId="0" borderId="0" xfId="62" applyFont="1" applyAlignment="1">
      <alignment/>
    </xf>
    <xf numFmtId="43" fontId="34" fillId="0" borderId="0" xfId="52" applyNumberFormat="1" applyFont="1">
      <alignment/>
      <protection/>
    </xf>
    <xf numFmtId="0" fontId="115" fillId="0" borderId="0" xfId="0" applyFont="1" applyAlignment="1">
      <alignment/>
    </xf>
    <xf numFmtId="43" fontId="115" fillId="0" borderId="0" xfId="0" applyNumberFormat="1" applyFont="1" applyAlignment="1">
      <alignment/>
    </xf>
    <xf numFmtId="172" fontId="37" fillId="4" borderId="63" xfId="52" applyNumberFormat="1" applyFont="1" applyFill="1" applyBorder="1" applyAlignment="1">
      <alignment horizontal="right"/>
      <protection/>
    </xf>
    <xf numFmtId="0" fontId="46" fillId="4" borderId="52" xfId="52" applyFont="1" applyFill="1" applyBorder="1" applyAlignment="1">
      <alignment horizontal="center" wrapText="1"/>
      <protection/>
    </xf>
    <xf numFmtId="0" fontId="44" fillId="4" borderId="63" xfId="52" applyFont="1" applyFill="1" applyBorder="1" applyAlignment="1">
      <alignment horizontal="center" vertical="center" wrapText="1"/>
      <protection/>
    </xf>
    <xf numFmtId="0" fontId="44" fillId="4" borderId="33" xfId="52" applyFont="1" applyFill="1" applyBorder="1" applyAlignment="1">
      <alignment horizontal="center" vertical="center" wrapText="1"/>
      <protection/>
    </xf>
    <xf numFmtId="0" fontId="44" fillId="4" borderId="56" xfId="52" applyFont="1" applyFill="1" applyBorder="1" applyAlignment="1">
      <alignment horizontal="center" vertical="center" wrapText="1"/>
      <protection/>
    </xf>
    <xf numFmtId="0" fontId="44" fillId="4" borderId="55" xfId="52" applyFont="1" applyFill="1" applyBorder="1" applyAlignment="1">
      <alignment horizontal="center" vertical="center" wrapText="1"/>
      <protection/>
    </xf>
    <xf numFmtId="0" fontId="44" fillId="4" borderId="38" xfId="52" applyFont="1" applyFill="1" applyBorder="1" applyAlignment="1">
      <alignment horizontal="center" vertical="center" wrapText="1"/>
      <protection/>
    </xf>
    <xf numFmtId="0" fontId="47" fillId="4" borderId="56" xfId="52" applyFont="1" applyFill="1" applyBorder="1" applyAlignment="1">
      <alignment horizontal="center" wrapText="1"/>
      <protection/>
    </xf>
    <xf numFmtId="0" fontId="43" fillId="4" borderId="63" xfId="52" applyFont="1" applyFill="1" applyBorder="1" applyAlignment="1">
      <alignment horizontal="center" vertical="center" wrapText="1"/>
      <protection/>
    </xf>
    <xf numFmtId="0" fontId="37" fillId="4" borderId="63" xfId="52" applyFont="1" applyFill="1" applyBorder="1" applyAlignment="1">
      <alignment/>
      <protection/>
    </xf>
    <xf numFmtId="0" fontId="37" fillId="4" borderId="63" xfId="52" applyFont="1" applyFill="1" applyBorder="1" applyAlignment="1">
      <alignment horizontal="center"/>
      <protection/>
    </xf>
    <xf numFmtId="0" fontId="12" fillId="0" borderId="0" xfId="52" applyFont="1" applyFill="1" applyAlignment="1">
      <alignment horizontal="center" wrapText="1"/>
      <protection/>
    </xf>
    <xf numFmtId="0" fontId="3" fillId="0" borderId="0" xfId="0" applyFont="1" applyBorder="1" applyAlignment="1">
      <alignment/>
    </xf>
    <xf numFmtId="0" fontId="3" fillId="0" borderId="0" xfId="52" applyFont="1" applyFill="1" applyAlignment="1">
      <alignment horizontal="right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vertical="center" wrapText="1"/>
      <protection/>
    </xf>
    <xf numFmtId="0" fontId="3" fillId="0" borderId="0" xfId="52" applyFont="1" applyBorder="1">
      <alignment/>
      <protection/>
    </xf>
    <xf numFmtId="0" fontId="12" fillId="0" borderId="0" xfId="52" applyFont="1" applyBorder="1">
      <alignment/>
      <protection/>
    </xf>
    <xf numFmtId="0" fontId="12" fillId="0" borderId="0" xfId="52" applyFont="1">
      <alignment/>
      <protection/>
    </xf>
    <xf numFmtId="0" fontId="3" fillId="0" borderId="78" xfId="52" applyFont="1" applyBorder="1" applyAlignment="1">
      <alignment horizontal="center" vertical="center" wrapText="1"/>
      <protection/>
    </xf>
    <xf numFmtId="0" fontId="3" fillId="0" borderId="65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38" xfId="52" applyFont="1" applyBorder="1" applyAlignment="1">
      <alignment horizontal="center" vertical="center" wrapText="1"/>
      <protection/>
    </xf>
    <xf numFmtId="0" fontId="3" fillId="36" borderId="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48" fillId="0" borderId="0" xfId="52" applyFont="1" applyFill="1" applyBorder="1" applyAlignment="1">
      <alignment horizontal="center" wrapText="1"/>
      <protection/>
    </xf>
    <xf numFmtId="0" fontId="43" fillId="4" borderId="0" xfId="52" applyFont="1" applyFill="1" applyBorder="1" applyAlignment="1">
      <alignment horizontal="center" vertical="center" wrapText="1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3" fillId="0" borderId="63" xfId="52" applyFont="1" applyBorder="1" applyAlignment="1">
      <alignment horizontal="center"/>
      <protection/>
    </xf>
    <xf numFmtId="0" fontId="3" fillId="0" borderId="38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56" xfId="52" applyFont="1" applyBorder="1" applyAlignment="1">
      <alignment horizontal="center"/>
      <protection/>
    </xf>
    <xf numFmtId="0" fontId="3" fillId="0" borderId="33" xfId="52" applyFont="1" applyBorder="1" applyAlignment="1">
      <alignment horizontal="center" wrapText="1"/>
      <protection/>
    </xf>
    <xf numFmtId="0" fontId="3" fillId="0" borderId="39" xfId="52" applyFont="1" applyBorder="1" applyAlignment="1">
      <alignment horizontal="center" wrapText="1"/>
      <protection/>
    </xf>
    <xf numFmtId="4" fontId="3" fillId="0" borderId="0" xfId="52" applyNumberFormat="1" applyFont="1">
      <alignment/>
      <protection/>
    </xf>
    <xf numFmtId="0" fontId="49" fillId="0" borderId="0" xfId="52" applyFont="1">
      <alignment/>
      <protection/>
    </xf>
    <xf numFmtId="165" fontId="3" fillId="0" borderId="0" xfId="52" applyNumberFormat="1" applyFont="1" applyBorder="1" applyAlignment="1">
      <alignment horizontal="right" wrapText="1"/>
      <protection/>
    </xf>
    <xf numFmtId="0" fontId="49" fillId="0" borderId="0" xfId="52" applyFont="1" applyBorder="1">
      <alignment/>
      <protection/>
    </xf>
    <xf numFmtId="2" fontId="3" fillId="0" borderId="0" xfId="52" applyNumberFormat="1" applyFont="1" applyBorder="1" applyAlignment="1">
      <alignment horizontal="right" wrapText="1"/>
      <protection/>
    </xf>
    <xf numFmtId="0" fontId="14" fillId="0" borderId="0" xfId="52" applyFont="1">
      <alignment/>
      <protection/>
    </xf>
    <xf numFmtId="172" fontId="3" fillId="0" borderId="0" xfId="52" applyNumberFormat="1" applyFont="1" applyBorder="1" applyAlignment="1">
      <alignment horizontal="center"/>
      <protection/>
    </xf>
    <xf numFmtId="43" fontId="14" fillId="0" borderId="0" xfId="60" applyFont="1" applyAlignment="1">
      <alignment/>
    </xf>
    <xf numFmtId="1" fontId="3" fillId="0" borderId="0" xfId="52" applyNumberFormat="1" applyFont="1" applyAlignment="1">
      <alignment/>
      <protection/>
    </xf>
    <xf numFmtId="0" fontId="3" fillId="0" borderId="0" xfId="52" applyFont="1" applyAlignment="1">
      <alignment/>
      <protection/>
    </xf>
    <xf numFmtId="0" fontId="3" fillId="4" borderId="64" xfId="52" applyFont="1" applyFill="1" applyBorder="1" applyAlignment="1">
      <alignment horizontal="center" vertical="center"/>
      <protection/>
    </xf>
    <xf numFmtId="0" fontId="3" fillId="4" borderId="51" xfId="52" applyFont="1" applyFill="1" applyBorder="1" applyAlignment="1">
      <alignment horizontal="center" vertical="center"/>
      <protection/>
    </xf>
    <xf numFmtId="0" fontId="3" fillId="4" borderId="63" xfId="52" applyFont="1" applyFill="1" applyBorder="1" applyAlignment="1">
      <alignment horizontal="center" wrapText="1"/>
      <protection/>
    </xf>
    <xf numFmtId="0" fontId="43" fillId="0" borderId="0" xfId="52" applyFont="1" applyBorder="1" applyAlignment="1">
      <alignment horizontal="center" vertical="center" wrapText="1"/>
      <protection/>
    </xf>
    <xf numFmtId="0" fontId="43" fillId="0" borderId="53" xfId="52" applyFont="1" applyBorder="1" applyAlignment="1">
      <alignment horizontal="center" vertical="center" wrapText="1"/>
      <protection/>
    </xf>
    <xf numFmtId="0" fontId="44" fillId="0" borderId="53" xfId="0" applyFont="1" applyBorder="1" applyAlignment="1">
      <alignment horizontal="right"/>
    </xf>
    <xf numFmtId="0" fontId="43" fillId="0" borderId="53" xfId="52" applyFont="1" applyBorder="1" applyAlignment="1">
      <alignment vertical="center" wrapText="1"/>
      <protection/>
    </xf>
    <xf numFmtId="0" fontId="43" fillId="0" borderId="0" xfId="52" applyFont="1" applyBorder="1" applyAlignment="1">
      <alignment vertical="center" wrapText="1"/>
      <protection/>
    </xf>
    <xf numFmtId="0" fontId="100" fillId="0" borderId="0" xfId="0" applyFont="1" applyAlignment="1">
      <alignment/>
    </xf>
    <xf numFmtId="172" fontId="110" fillId="4" borderId="34" xfId="0" applyNumberFormat="1" applyFont="1" applyFill="1" applyBorder="1" applyAlignment="1">
      <alignment/>
    </xf>
    <xf numFmtId="172" fontId="110" fillId="4" borderId="36" xfId="0" applyNumberFormat="1" applyFont="1" applyFill="1" applyBorder="1" applyAlignment="1">
      <alignment/>
    </xf>
    <xf numFmtId="172" fontId="43" fillId="4" borderId="63" xfId="62" applyNumberFormat="1" applyFont="1" applyFill="1" applyBorder="1" applyAlignment="1">
      <alignment horizontal="right" wrapText="1"/>
    </xf>
    <xf numFmtId="176" fontId="44" fillId="4" borderId="59" xfId="62" applyNumberFormat="1" applyFont="1" applyFill="1" applyBorder="1" applyAlignment="1">
      <alignment horizontal="center" wrapText="1"/>
    </xf>
    <xf numFmtId="176" fontId="44" fillId="4" borderId="75" xfId="62" applyNumberFormat="1" applyFont="1" applyFill="1" applyBorder="1" applyAlignment="1">
      <alignment horizontal="center" wrapText="1"/>
    </xf>
    <xf numFmtId="176" fontId="43" fillId="4" borderId="65" xfId="62" applyNumberFormat="1" applyFont="1" applyFill="1" applyBorder="1" applyAlignment="1">
      <alignment horizontal="center" wrapText="1"/>
    </xf>
    <xf numFmtId="0" fontId="116" fillId="0" borderId="0" xfId="0" applyFont="1" applyAlignment="1">
      <alignment/>
    </xf>
    <xf numFmtId="0" fontId="117" fillId="0" borderId="22" xfId="0" applyFont="1" applyBorder="1" applyAlignment="1">
      <alignment horizontal="center"/>
    </xf>
    <xf numFmtId="0" fontId="117" fillId="0" borderId="25" xfId="0" applyFont="1" applyBorder="1" applyAlignment="1">
      <alignment horizontal="center"/>
    </xf>
    <xf numFmtId="172" fontId="117" fillId="0" borderId="35" xfId="0" applyNumberFormat="1" applyFont="1" applyBorder="1" applyAlignment="1">
      <alignment horizontal="center"/>
    </xf>
    <xf numFmtId="172" fontId="117" fillId="0" borderId="60" xfId="0" applyNumberFormat="1" applyFont="1" applyBorder="1" applyAlignment="1">
      <alignment horizontal="center"/>
    </xf>
    <xf numFmtId="3" fontId="117" fillId="0" borderId="10" xfId="0" applyNumberFormat="1" applyFont="1" applyBorder="1" applyAlignment="1">
      <alignment horizontal="center"/>
    </xf>
    <xf numFmtId="3" fontId="117" fillId="0" borderId="23" xfId="0" applyNumberFormat="1" applyFont="1" applyBorder="1" applyAlignment="1">
      <alignment horizontal="center"/>
    </xf>
    <xf numFmtId="172" fontId="117" fillId="0" borderId="10" xfId="0" applyNumberFormat="1" applyFont="1" applyBorder="1" applyAlignment="1">
      <alignment horizontal="center"/>
    </xf>
    <xf numFmtId="172" fontId="117" fillId="0" borderId="23" xfId="0" applyNumberFormat="1" applyFont="1" applyBorder="1" applyAlignment="1">
      <alignment horizontal="center"/>
    </xf>
    <xf numFmtId="172" fontId="117" fillId="0" borderId="11" xfId="0" applyNumberFormat="1" applyFont="1" applyBorder="1" applyAlignment="1">
      <alignment horizontal="center"/>
    </xf>
    <xf numFmtId="172" fontId="117" fillId="0" borderId="24" xfId="0" applyNumberFormat="1" applyFont="1" applyBorder="1" applyAlignment="1">
      <alignment horizontal="center"/>
    </xf>
    <xf numFmtId="3" fontId="117" fillId="0" borderId="35" xfId="0" applyNumberFormat="1" applyFont="1" applyBorder="1" applyAlignment="1">
      <alignment horizontal="center"/>
    </xf>
    <xf numFmtId="3" fontId="117" fillId="0" borderId="60" xfId="0" applyNumberFormat="1" applyFont="1" applyBorder="1" applyAlignment="1">
      <alignment horizontal="center"/>
    </xf>
    <xf numFmtId="173" fontId="117" fillId="0" borderId="10" xfId="0" applyNumberFormat="1" applyFont="1" applyBorder="1" applyAlignment="1">
      <alignment horizontal="center" wrapText="1"/>
    </xf>
    <xf numFmtId="173" fontId="117" fillId="0" borderId="23" xfId="0" applyNumberFormat="1" applyFont="1" applyBorder="1" applyAlignment="1">
      <alignment horizontal="center" wrapText="1"/>
    </xf>
    <xf numFmtId="172" fontId="118" fillId="0" borderId="10" xfId="0" applyNumberFormat="1" applyFont="1" applyBorder="1" applyAlignment="1">
      <alignment horizontal="center"/>
    </xf>
    <xf numFmtId="172" fontId="118" fillId="0" borderId="23" xfId="0" applyNumberFormat="1" applyFont="1" applyBorder="1" applyAlignment="1">
      <alignment horizontal="center"/>
    </xf>
    <xf numFmtId="172" fontId="117" fillId="0" borderId="37" xfId="0" applyNumberFormat="1" applyFont="1" applyBorder="1" applyAlignment="1">
      <alignment horizontal="center"/>
    </xf>
    <xf numFmtId="172" fontId="117" fillId="0" borderId="80" xfId="0" applyNumberFormat="1" applyFont="1" applyBorder="1" applyAlignment="1">
      <alignment horizontal="center"/>
    </xf>
    <xf numFmtId="0" fontId="117" fillId="0" borderId="0" xfId="0" applyFont="1" applyBorder="1" applyAlignment="1">
      <alignment horizontal="left"/>
    </xf>
    <xf numFmtId="172" fontId="118" fillId="4" borderId="22" xfId="0" applyNumberFormat="1" applyFont="1" applyFill="1" applyBorder="1" applyAlignment="1">
      <alignment horizontal="center"/>
    </xf>
    <xf numFmtId="172" fontId="118" fillId="4" borderId="25" xfId="0" applyNumberFormat="1" applyFont="1" applyFill="1" applyBorder="1" applyAlignment="1">
      <alignment horizontal="center"/>
    </xf>
    <xf numFmtId="172" fontId="37" fillId="37" borderId="22" xfId="0" applyNumberFormat="1" applyFont="1" applyFill="1" applyBorder="1" applyAlignment="1">
      <alignment horizontal="center"/>
    </xf>
    <xf numFmtId="172" fontId="37" fillId="37" borderId="25" xfId="0" applyNumberFormat="1" applyFont="1" applyFill="1" applyBorder="1" applyAlignment="1">
      <alignment horizontal="center"/>
    </xf>
    <xf numFmtId="172" fontId="118" fillId="37" borderId="22" xfId="0" applyNumberFormat="1" applyFont="1" applyFill="1" applyBorder="1" applyAlignment="1">
      <alignment horizontal="center"/>
    </xf>
    <xf numFmtId="172" fontId="118" fillId="37" borderId="25" xfId="0" applyNumberFormat="1" applyFont="1" applyFill="1" applyBorder="1" applyAlignment="1">
      <alignment horizontal="center"/>
    </xf>
    <xf numFmtId="0" fontId="33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176" fontId="4" fillId="34" borderId="10" xfId="62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/>
    </xf>
    <xf numFmtId="0" fontId="40" fillId="0" borderId="52" xfId="52" applyFont="1" applyFill="1" applyBorder="1">
      <alignment/>
      <protection/>
    </xf>
    <xf numFmtId="0" fontId="40" fillId="0" borderId="19" xfId="52" applyFont="1" applyFill="1" applyBorder="1">
      <alignment/>
      <protection/>
    </xf>
    <xf numFmtId="4" fontId="40" fillId="0" borderId="14" xfId="52" applyNumberFormat="1" applyFont="1" applyFill="1" applyBorder="1">
      <alignment/>
      <protection/>
    </xf>
    <xf numFmtId="172" fontId="41" fillId="4" borderId="52" xfId="52" applyNumberFormat="1" applyFont="1" applyFill="1" applyBorder="1">
      <alignment/>
      <protection/>
    </xf>
    <xf numFmtId="4" fontId="41" fillId="4" borderId="0" xfId="52" applyNumberFormat="1" applyFont="1" applyFill="1" applyBorder="1">
      <alignment/>
      <protection/>
    </xf>
    <xf numFmtId="4" fontId="41" fillId="4" borderId="52" xfId="52" applyNumberFormat="1" applyFont="1" applyFill="1" applyBorder="1">
      <alignment/>
      <protection/>
    </xf>
    <xf numFmtId="0" fontId="44" fillId="0" borderId="31" xfId="52" applyFont="1" applyBorder="1" applyAlignment="1">
      <alignment vertical="top" wrapText="1"/>
      <protection/>
    </xf>
    <xf numFmtId="0" fontId="110" fillId="0" borderId="13" xfId="0" applyFont="1" applyBorder="1" applyAlignment="1">
      <alignment wrapText="1"/>
    </xf>
    <xf numFmtId="0" fontId="13" fillId="0" borderId="0" xfId="0" applyFont="1" applyFill="1" applyAlignment="1">
      <alignment horizontal="center" wrapText="1"/>
    </xf>
    <xf numFmtId="0" fontId="43" fillId="0" borderId="51" xfId="52" applyFont="1" applyBorder="1" applyAlignment="1">
      <alignment horizontal="center" vertical="center" wrapText="1"/>
      <protection/>
    </xf>
    <xf numFmtId="0" fontId="13" fillId="0" borderId="0" xfId="52" applyFont="1" applyAlignment="1">
      <alignment horizontal="center" wrapText="1"/>
      <protection/>
    </xf>
    <xf numFmtId="0" fontId="43" fillId="0" borderId="63" xfId="52" applyFont="1" applyBorder="1" applyAlignment="1">
      <alignment horizontal="center"/>
      <protection/>
    </xf>
    <xf numFmtId="0" fontId="43" fillId="4" borderId="51" xfId="52" applyFont="1" applyFill="1" applyBorder="1" applyAlignment="1">
      <alignment horizontal="center" vertical="center" wrapText="1"/>
      <protection/>
    </xf>
    <xf numFmtId="0" fontId="12" fillId="35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176" fontId="2" fillId="0" borderId="10" xfId="62" applyNumberFormat="1" applyFont="1" applyFill="1" applyBorder="1" applyAlignment="1">
      <alignment horizontal="center" wrapText="1"/>
    </xf>
    <xf numFmtId="176" fontId="2" fillId="34" borderId="10" xfId="62" applyNumberFormat="1" applyFont="1" applyFill="1" applyBorder="1" applyAlignment="1">
      <alignment horizontal="center" wrapText="1"/>
    </xf>
    <xf numFmtId="0" fontId="44" fillId="0" borderId="28" xfId="52" applyFont="1" applyBorder="1" applyAlignment="1">
      <alignment horizontal="left" wrapText="1"/>
      <protection/>
    </xf>
    <xf numFmtId="176" fontId="44" fillId="4" borderId="62" xfId="62" applyNumberFormat="1" applyFont="1" applyFill="1" applyBorder="1" applyAlignment="1">
      <alignment horizontal="center" wrapText="1"/>
    </xf>
    <xf numFmtId="0" fontId="44" fillId="0" borderId="55" xfId="52" applyFont="1" applyBorder="1" applyAlignment="1">
      <alignment horizontal="left" wrapText="1"/>
      <protection/>
    </xf>
    <xf numFmtId="0" fontId="43" fillId="0" borderId="33" xfId="52" applyFont="1" applyBorder="1" applyAlignment="1">
      <alignment horizontal="center" vertical="center" wrapText="1"/>
      <protection/>
    </xf>
    <xf numFmtId="0" fontId="43" fillId="0" borderId="67" xfId="52" applyFont="1" applyBorder="1" applyAlignment="1">
      <alignment horizontal="center" wrapText="1"/>
      <protection/>
    </xf>
    <xf numFmtId="43" fontId="43" fillId="0" borderId="67" xfId="62" applyFont="1" applyBorder="1" applyAlignment="1">
      <alignment horizontal="center" wrapText="1"/>
    </xf>
    <xf numFmtId="0" fontId="44" fillId="0" borderId="22" xfId="52" applyFont="1" applyBorder="1" applyAlignment="1">
      <alignment horizontal="center" wrapText="1"/>
      <protection/>
    </xf>
    <xf numFmtId="0" fontId="3" fillId="0" borderId="10" xfId="52" applyFont="1" applyFill="1" applyBorder="1" applyAlignment="1">
      <alignment horizontal="center" wrapText="1"/>
      <protection/>
    </xf>
    <xf numFmtId="43" fontId="3" fillId="0" borderId="10" xfId="60" applyFont="1" applyFill="1" applyBorder="1" applyAlignment="1">
      <alignment horizontal="center"/>
    </xf>
    <xf numFmtId="43" fontId="3" fillId="0" borderId="10" xfId="60" applyNumberFormat="1" applyFont="1" applyFill="1" applyBorder="1" applyAlignment="1">
      <alignment horizontal="center"/>
    </xf>
    <xf numFmtId="43" fontId="3" fillId="0" borderId="10" xfId="60" applyFont="1" applyFill="1" applyBorder="1" applyAlignment="1">
      <alignment horizontal="center" wrapText="1"/>
    </xf>
    <xf numFmtId="43" fontId="3" fillId="0" borderId="10" xfId="60" applyNumberFormat="1" applyFont="1" applyFill="1" applyBorder="1" applyAlignment="1">
      <alignment horizontal="center" wrapText="1"/>
    </xf>
    <xf numFmtId="172" fontId="12" fillId="4" borderId="63" xfId="60" applyNumberFormat="1" applyFont="1" applyFill="1" applyBorder="1" applyAlignment="1">
      <alignment horizontal="right" wrapText="1"/>
    </xf>
    <xf numFmtId="0" fontId="43" fillId="0" borderId="78" xfId="52" applyFont="1" applyBorder="1" applyAlignment="1">
      <alignment horizontal="center" wrapText="1"/>
      <protection/>
    </xf>
    <xf numFmtId="43" fontId="44" fillId="0" borderId="67" xfId="62" applyFont="1" applyBorder="1" applyAlignment="1">
      <alignment horizontal="center"/>
    </xf>
    <xf numFmtId="184" fontId="43" fillId="0" borderId="22" xfId="62" applyNumberFormat="1" applyFont="1" applyBorder="1" applyAlignment="1">
      <alignment horizontal="right" wrapText="1"/>
    </xf>
    <xf numFmtId="184" fontId="43" fillId="0" borderId="25" xfId="62" applyNumberFormat="1" applyFont="1" applyBorder="1" applyAlignment="1">
      <alignment horizontal="right" wrapText="1"/>
    </xf>
    <xf numFmtId="184" fontId="44" fillId="0" borderId="35" xfId="62" applyNumberFormat="1" applyFont="1" applyFill="1" applyBorder="1" applyAlignment="1">
      <alignment horizontal="right"/>
    </xf>
    <xf numFmtId="184" fontId="44" fillId="0" borderId="46" xfId="62" applyNumberFormat="1" applyFont="1" applyBorder="1" applyAlignment="1">
      <alignment horizontal="right" wrapText="1"/>
    </xf>
    <xf numFmtId="184" fontId="44" fillId="0" borderId="10" xfId="62" applyNumberFormat="1" applyFont="1" applyFill="1" applyBorder="1" applyAlignment="1">
      <alignment horizontal="right"/>
    </xf>
    <xf numFmtId="184" fontId="44" fillId="0" borderId="27" xfId="62" applyNumberFormat="1" applyFont="1" applyBorder="1" applyAlignment="1">
      <alignment horizontal="right" wrapText="1"/>
    </xf>
    <xf numFmtId="172" fontId="43" fillId="0" borderId="22" xfId="62" applyNumberFormat="1" applyFont="1" applyBorder="1" applyAlignment="1">
      <alignment horizontal="right" wrapText="1"/>
    </xf>
    <xf numFmtId="172" fontId="43" fillId="0" borderId="25" xfId="62" applyNumberFormat="1" applyFont="1" applyBorder="1" applyAlignment="1">
      <alignment horizontal="right" wrapText="1"/>
    </xf>
    <xf numFmtId="172" fontId="44" fillId="0" borderId="35" xfId="62" applyNumberFormat="1" applyFont="1" applyBorder="1" applyAlignment="1">
      <alignment horizontal="right"/>
    </xf>
    <xf numFmtId="172" fontId="44" fillId="0" borderId="46" xfId="62" applyNumberFormat="1" applyFont="1" applyFill="1" applyBorder="1" applyAlignment="1">
      <alignment horizontal="right"/>
    </xf>
    <xf numFmtId="172" fontId="44" fillId="0" borderId="11" xfId="62" applyNumberFormat="1" applyFont="1" applyBorder="1" applyAlignment="1">
      <alignment horizontal="right"/>
    </xf>
    <xf numFmtId="172" fontId="44" fillId="0" borderId="42" xfId="62" applyNumberFormat="1" applyFont="1" applyFill="1" applyBorder="1" applyAlignment="1">
      <alignment horizontal="right"/>
    </xf>
    <xf numFmtId="172" fontId="43" fillId="0" borderId="22" xfId="62" applyNumberFormat="1" applyFont="1" applyBorder="1" applyAlignment="1">
      <alignment horizontal="right"/>
    </xf>
    <xf numFmtId="172" fontId="43" fillId="0" borderId="38" xfId="62" applyNumberFormat="1" applyFont="1" applyFill="1" applyBorder="1" applyAlignment="1">
      <alignment horizontal="right"/>
    </xf>
    <xf numFmtId="172" fontId="44" fillId="0" borderId="60" xfId="62" applyNumberFormat="1" applyFont="1" applyFill="1" applyBorder="1" applyAlignment="1">
      <alignment horizontal="right"/>
    </xf>
    <xf numFmtId="172" fontId="44" fillId="0" borderId="37" xfId="62" applyNumberFormat="1" applyFont="1" applyBorder="1" applyAlignment="1">
      <alignment horizontal="right"/>
    </xf>
    <xf numFmtId="172" fontId="44" fillId="0" borderId="80" xfId="62" applyNumberFormat="1" applyFont="1" applyFill="1" applyBorder="1" applyAlignment="1">
      <alignment horizontal="right"/>
    </xf>
    <xf numFmtId="172" fontId="43" fillId="0" borderId="67" xfId="62" applyNumberFormat="1" applyFont="1" applyBorder="1" applyAlignment="1">
      <alignment horizontal="right"/>
    </xf>
    <xf numFmtId="172" fontId="43" fillId="0" borderId="69" xfId="62" applyNumberFormat="1" applyFont="1" applyFill="1" applyBorder="1" applyAlignment="1">
      <alignment horizontal="right"/>
    </xf>
    <xf numFmtId="172" fontId="44" fillId="0" borderId="24" xfId="62" applyNumberFormat="1" applyFont="1" applyFill="1" applyBorder="1" applyAlignment="1">
      <alignment horizontal="right"/>
    </xf>
    <xf numFmtId="172" fontId="43" fillId="0" borderId="25" xfId="62" applyNumberFormat="1" applyFont="1" applyFill="1" applyBorder="1" applyAlignment="1">
      <alignment horizontal="right"/>
    </xf>
    <xf numFmtId="172" fontId="43" fillId="4" borderId="22" xfId="52" applyNumberFormat="1" applyFont="1" applyFill="1" applyBorder="1" applyAlignment="1">
      <alignment horizontal="right"/>
      <protection/>
    </xf>
    <xf numFmtId="172" fontId="44" fillId="0" borderId="0" xfId="52" applyNumberFormat="1" applyFont="1">
      <alignment/>
      <protection/>
    </xf>
    <xf numFmtId="172" fontId="12" fillId="0" borderId="10" xfId="60" applyNumberFormat="1" applyFont="1" applyFill="1" applyBorder="1" applyAlignment="1">
      <alignment horizontal="right"/>
    </xf>
    <xf numFmtId="172" fontId="12" fillId="0" borderId="27" xfId="60" applyNumberFormat="1" applyFont="1" applyFill="1" applyBorder="1" applyAlignment="1">
      <alignment horizontal="right"/>
    </xf>
    <xf numFmtId="172" fontId="113" fillId="4" borderId="22" xfId="0" applyNumberFormat="1" applyFont="1" applyFill="1" applyBorder="1" applyAlignment="1">
      <alignment/>
    </xf>
    <xf numFmtId="172" fontId="113" fillId="4" borderId="25" xfId="0" applyNumberFormat="1" applyFont="1" applyFill="1" applyBorder="1" applyAlignment="1">
      <alignment/>
    </xf>
    <xf numFmtId="172" fontId="43" fillId="4" borderId="38" xfId="62" applyNumberFormat="1" applyFont="1" applyFill="1" applyBorder="1" applyAlignment="1">
      <alignment wrapText="1"/>
    </xf>
    <xf numFmtId="172" fontId="43" fillId="4" borderId="25" xfId="62" applyNumberFormat="1" applyFont="1" applyFill="1" applyBorder="1" applyAlignment="1">
      <alignment wrapText="1"/>
    </xf>
    <xf numFmtId="172" fontId="110" fillId="4" borderId="46" xfId="0" applyNumberFormat="1" applyFont="1" applyFill="1" applyBorder="1" applyAlignment="1">
      <alignment/>
    </xf>
    <xf numFmtId="172" fontId="110" fillId="4" borderId="21" xfId="0" applyNumberFormat="1" applyFont="1" applyFill="1" applyBorder="1" applyAlignment="1">
      <alignment/>
    </xf>
    <xf numFmtId="172" fontId="110" fillId="4" borderId="74" xfId="0" applyNumberFormat="1" applyFont="1" applyFill="1" applyBorder="1" applyAlignment="1">
      <alignment/>
    </xf>
    <xf numFmtId="172" fontId="110" fillId="4" borderId="80" xfId="0" applyNumberFormat="1" applyFont="1" applyFill="1" applyBorder="1" applyAlignment="1">
      <alignment/>
    </xf>
    <xf numFmtId="172" fontId="110" fillId="4" borderId="35" xfId="0" applyNumberFormat="1" applyFont="1" applyFill="1" applyBorder="1" applyAlignment="1">
      <alignment/>
    </xf>
    <xf numFmtId="172" fontId="110" fillId="4" borderId="60" xfId="0" applyNumberFormat="1" applyFont="1" applyFill="1" applyBorder="1" applyAlignment="1">
      <alignment/>
    </xf>
    <xf numFmtId="172" fontId="110" fillId="4" borderId="11" xfId="0" applyNumberFormat="1" applyFont="1" applyFill="1" applyBorder="1" applyAlignment="1">
      <alignment/>
    </xf>
    <xf numFmtId="172" fontId="110" fillId="4" borderId="24" xfId="0" applyNumberFormat="1" applyFont="1" applyFill="1" applyBorder="1" applyAlignment="1">
      <alignment/>
    </xf>
    <xf numFmtId="172" fontId="110" fillId="4" borderId="37" xfId="0" applyNumberFormat="1" applyFont="1" applyFill="1" applyBorder="1" applyAlignment="1">
      <alignment/>
    </xf>
    <xf numFmtId="172" fontId="113" fillId="4" borderId="67" xfId="0" applyNumberFormat="1" applyFont="1" applyFill="1" applyBorder="1" applyAlignment="1">
      <alignment/>
    </xf>
    <xf numFmtId="172" fontId="113" fillId="4" borderId="69" xfId="0" applyNumberFormat="1" applyFont="1" applyFill="1" applyBorder="1" applyAlignment="1">
      <alignment/>
    </xf>
    <xf numFmtId="172" fontId="119" fillId="4" borderId="22" xfId="0" applyNumberFormat="1" applyFont="1" applyFill="1" applyBorder="1" applyAlignment="1">
      <alignment/>
    </xf>
    <xf numFmtId="172" fontId="119" fillId="4" borderId="25" xfId="0" applyNumberFormat="1" applyFont="1" applyFill="1" applyBorder="1" applyAlignment="1">
      <alignment/>
    </xf>
    <xf numFmtId="172" fontId="43" fillId="4" borderId="22" xfId="52" applyNumberFormat="1" applyFont="1" applyFill="1" applyBorder="1" applyAlignment="1">
      <alignment/>
      <protection/>
    </xf>
    <xf numFmtId="0" fontId="13" fillId="0" borderId="0" xfId="52" applyFont="1" applyAlignment="1">
      <alignment wrapText="1"/>
      <protection/>
    </xf>
    <xf numFmtId="172" fontId="37" fillId="4" borderId="30" xfId="52" applyNumberFormat="1" applyFont="1" applyFill="1" applyBorder="1" applyAlignment="1">
      <alignment horizontal="right" wrapText="1"/>
      <protection/>
    </xf>
    <xf numFmtId="3" fontId="37" fillId="4" borderId="59" xfId="52" applyNumberFormat="1" applyFont="1" applyFill="1" applyBorder="1" applyAlignment="1">
      <alignment horizontal="right" wrapText="1"/>
      <protection/>
    </xf>
    <xf numFmtId="172" fontId="37" fillId="4" borderId="30" xfId="52" applyNumberFormat="1" applyFont="1" applyFill="1" applyBorder="1" applyAlignment="1">
      <alignment horizontal="right"/>
      <protection/>
    </xf>
    <xf numFmtId="172" fontId="37" fillId="4" borderId="47" xfId="52" applyNumberFormat="1" applyFont="1" applyFill="1" applyBorder="1" applyAlignment="1">
      <alignment horizontal="right"/>
      <protection/>
    </xf>
    <xf numFmtId="172" fontId="37" fillId="4" borderId="45" xfId="52" applyNumberFormat="1" applyFont="1" applyFill="1" applyBorder="1" applyAlignment="1">
      <alignment horizontal="right"/>
      <protection/>
    </xf>
    <xf numFmtId="172" fontId="37" fillId="4" borderId="46" xfId="52" applyNumberFormat="1" applyFont="1" applyFill="1" applyBorder="1" applyAlignment="1">
      <alignment horizontal="right"/>
      <protection/>
    </xf>
    <xf numFmtId="172" fontId="37" fillId="4" borderId="70" xfId="52" applyNumberFormat="1" applyFont="1" applyFill="1" applyBorder="1" applyAlignment="1">
      <alignment horizontal="right" vertical="center"/>
      <protection/>
    </xf>
    <xf numFmtId="172" fontId="37" fillId="4" borderId="72" xfId="52" applyNumberFormat="1" applyFont="1" applyFill="1" applyBorder="1" applyAlignment="1">
      <alignment horizontal="right" vertical="center"/>
      <protection/>
    </xf>
    <xf numFmtId="3" fontId="37" fillId="4" borderId="61" xfId="52" applyNumberFormat="1" applyFont="1" applyFill="1" applyBorder="1" applyAlignment="1">
      <alignment horizontal="right" wrapText="1"/>
      <protection/>
    </xf>
    <xf numFmtId="172" fontId="37" fillId="4" borderId="31" xfId="52" applyNumberFormat="1" applyFont="1" applyFill="1" applyBorder="1" applyAlignment="1">
      <alignment horizontal="right"/>
      <protection/>
    </xf>
    <xf numFmtId="172" fontId="37" fillId="4" borderId="18" xfId="52" applyNumberFormat="1" applyFont="1" applyFill="1" applyBorder="1" applyAlignment="1">
      <alignment horizontal="right"/>
      <protection/>
    </xf>
    <xf numFmtId="172" fontId="37" fillId="4" borderId="27" xfId="52" applyNumberFormat="1" applyFont="1" applyFill="1" applyBorder="1" applyAlignment="1">
      <alignment horizontal="right"/>
      <protection/>
    </xf>
    <xf numFmtId="172" fontId="37" fillId="4" borderId="61" xfId="52" applyNumberFormat="1" applyFont="1" applyFill="1" applyBorder="1" applyAlignment="1">
      <alignment horizontal="right"/>
      <protection/>
    </xf>
    <xf numFmtId="172" fontId="37" fillId="4" borderId="61" xfId="52" applyNumberFormat="1" applyFont="1" applyFill="1" applyBorder="1" applyAlignment="1">
      <alignment horizontal="right" vertical="center"/>
      <protection/>
    </xf>
    <xf numFmtId="172" fontId="37" fillId="4" borderId="31" xfId="52" applyNumberFormat="1" applyFont="1" applyFill="1" applyBorder="1" applyAlignment="1">
      <alignment horizontal="right" vertical="center"/>
      <protection/>
    </xf>
    <xf numFmtId="3" fontId="37" fillId="4" borderId="62" xfId="52" applyNumberFormat="1" applyFont="1" applyFill="1" applyBorder="1" applyAlignment="1">
      <alignment horizontal="right" wrapText="1"/>
      <protection/>
    </xf>
    <xf numFmtId="172" fontId="37" fillId="4" borderId="32" xfId="52" applyNumberFormat="1" applyFont="1" applyFill="1" applyBorder="1" applyAlignment="1">
      <alignment horizontal="right"/>
      <protection/>
    </xf>
    <xf numFmtId="172" fontId="37" fillId="4" borderId="28" xfId="52" applyNumberFormat="1" applyFont="1" applyFill="1" applyBorder="1" applyAlignment="1">
      <alignment horizontal="right"/>
      <protection/>
    </xf>
    <xf numFmtId="172" fontId="37" fillId="4" borderId="42" xfId="52" applyNumberFormat="1" applyFont="1" applyFill="1" applyBorder="1" applyAlignment="1">
      <alignment horizontal="right"/>
      <protection/>
    </xf>
    <xf numFmtId="172" fontId="37" fillId="4" borderId="62" xfId="52" applyNumberFormat="1" applyFont="1" applyFill="1" applyBorder="1" applyAlignment="1">
      <alignment horizontal="right" vertical="center"/>
      <protection/>
    </xf>
    <xf numFmtId="172" fontId="37" fillId="4" borderId="32" xfId="52" applyNumberFormat="1" applyFont="1" applyFill="1" applyBorder="1" applyAlignment="1">
      <alignment horizontal="right" vertical="center"/>
      <protection/>
    </xf>
    <xf numFmtId="0" fontId="13" fillId="0" borderId="0" xfId="52" applyFont="1" applyAlignment="1">
      <alignment/>
      <protection/>
    </xf>
    <xf numFmtId="0" fontId="27" fillId="0" borderId="0" xfId="52" applyFont="1">
      <alignment/>
      <protection/>
    </xf>
    <xf numFmtId="0" fontId="27" fillId="0" borderId="0" xfId="52" applyFont="1" applyAlignment="1">
      <alignment wrapText="1"/>
      <protection/>
    </xf>
    <xf numFmtId="0" fontId="27" fillId="0" borderId="0" xfId="52" applyFont="1" applyAlignment="1">
      <alignment/>
      <protection/>
    </xf>
    <xf numFmtId="0" fontId="43" fillId="0" borderId="0" xfId="52" applyFont="1" applyAlignment="1">
      <alignment horizontal="right" wrapText="1"/>
      <protection/>
    </xf>
    <xf numFmtId="0" fontId="110" fillId="0" borderId="59" xfId="0" applyFont="1" applyBorder="1" applyAlignment="1">
      <alignment/>
    </xf>
    <xf numFmtId="0" fontId="3" fillId="0" borderId="59" xfId="52" applyFont="1" applyBorder="1">
      <alignment/>
      <protection/>
    </xf>
    <xf numFmtId="0" fontId="3" fillId="0" borderId="61" xfId="52" applyFont="1" applyBorder="1">
      <alignment/>
      <protection/>
    </xf>
    <xf numFmtId="0" fontId="3" fillId="0" borderId="62" xfId="52" applyFont="1" applyBorder="1">
      <alignment/>
      <protection/>
    </xf>
    <xf numFmtId="0" fontId="3" fillId="0" borderId="31" xfId="52" applyFont="1" applyBorder="1" applyAlignment="1">
      <alignment wrapText="1"/>
      <protection/>
    </xf>
    <xf numFmtId="0" fontId="33" fillId="0" borderId="0" xfId="0" applyFont="1" applyBorder="1" applyAlignment="1">
      <alignment horizontal="right"/>
    </xf>
    <xf numFmtId="172" fontId="44" fillId="0" borderId="77" xfId="52" applyNumberFormat="1" applyFont="1" applyFill="1" applyBorder="1" applyAlignment="1">
      <alignment horizontal="center"/>
      <protection/>
    </xf>
    <xf numFmtId="172" fontId="37" fillId="4" borderId="30" xfId="52" applyNumberFormat="1" applyFont="1" applyFill="1" applyBorder="1" applyAlignment="1">
      <alignment horizontal="center"/>
      <protection/>
    </xf>
    <xf numFmtId="172" fontId="114" fillId="4" borderId="30" xfId="0" applyNumberFormat="1" applyFont="1" applyFill="1" applyBorder="1" applyAlignment="1">
      <alignment/>
    </xf>
    <xf numFmtId="172" fontId="114" fillId="4" borderId="31" xfId="0" applyNumberFormat="1" applyFont="1" applyFill="1" applyBorder="1" applyAlignment="1">
      <alignment horizontal="center"/>
    </xf>
    <xf numFmtId="172" fontId="37" fillId="4" borderId="31" xfId="52" applyNumberFormat="1" applyFont="1" applyFill="1" applyBorder="1" applyAlignment="1">
      <alignment horizontal="center"/>
      <protection/>
    </xf>
    <xf numFmtId="172" fontId="114" fillId="4" borderId="33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0" borderId="35" xfId="0" applyFont="1" applyBorder="1" applyAlignment="1">
      <alignment horizontal="center"/>
    </xf>
    <xf numFmtId="172" fontId="114" fillId="4" borderId="30" xfId="0" applyNumberFormat="1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165" fontId="33" fillId="0" borderId="10" xfId="0" applyNumberFormat="1" applyFont="1" applyBorder="1" applyAlignment="1">
      <alignment horizontal="center"/>
    </xf>
    <xf numFmtId="165" fontId="37" fillId="4" borderId="17" xfId="0" applyNumberFormat="1" applyFont="1" applyFill="1" applyBorder="1" applyAlignment="1">
      <alignment horizontal="center"/>
    </xf>
    <xf numFmtId="165" fontId="37" fillId="4" borderId="22" xfId="0" applyNumberFormat="1" applyFont="1" applyFill="1" applyBorder="1" applyAlignment="1">
      <alignment horizontal="center"/>
    </xf>
    <xf numFmtId="165" fontId="37" fillId="0" borderId="0" xfId="0" applyNumberFormat="1" applyFont="1" applyFill="1" applyBorder="1" applyAlignment="1">
      <alignment horizontal="center"/>
    </xf>
    <xf numFmtId="172" fontId="114" fillId="0" borderId="0" xfId="0" applyNumberFormat="1" applyFont="1" applyFill="1" applyBorder="1" applyAlignment="1">
      <alignment horizontal="center"/>
    </xf>
    <xf numFmtId="0" fontId="114" fillId="0" borderId="0" xfId="0" applyFont="1" applyAlignment="1">
      <alignment horizontal="right"/>
    </xf>
    <xf numFmtId="2" fontId="37" fillId="4" borderId="17" xfId="0" applyNumberFormat="1" applyFont="1" applyFill="1" applyBorder="1" applyAlignment="1">
      <alignment horizontal="center"/>
    </xf>
    <xf numFmtId="1" fontId="33" fillId="0" borderId="10" xfId="0" applyNumberFormat="1" applyFont="1" applyBorder="1" applyAlignment="1">
      <alignment horizontal="center"/>
    </xf>
    <xf numFmtId="1" fontId="33" fillId="0" borderId="14" xfId="0" applyNumberFormat="1" applyFont="1" applyBorder="1" applyAlignment="1">
      <alignment horizontal="center"/>
    </xf>
    <xf numFmtId="1" fontId="37" fillId="4" borderId="22" xfId="0" applyNumberFormat="1" applyFont="1" applyFill="1" applyBorder="1" applyAlignment="1">
      <alignment horizontal="center"/>
    </xf>
    <xf numFmtId="0" fontId="33" fillId="0" borderId="51" xfId="52" applyFont="1" applyBorder="1" applyAlignment="1">
      <alignment horizontal="center" vertical="top" wrapText="1"/>
      <protection/>
    </xf>
    <xf numFmtId="0" fontId="33" fillId="0" borderId="29" xfId="52" applyFont="1" applyBorder="1" applyAlignment="1">
      <alignment horizontal="center" vertical="top" wrapText="1"/>
      <protection/>
    </xf>
    <xf numFmtId="0" fontId="33" fillId="0" borderId="37" xfId="52" applyFont="1" applyBorder="1" applyAlignment="1">
      <alignment horizontal="center" vertical="top" wrapText="1"/>
      <protection/>
    </xf>
    <xf numFmtId="0" fontId="115" fillId="0" borderId="53" xfId="0" applyFont="1" applyBorder="1" applyAlignment="1">
      <alignment horizontal="center" vertical="top" wrapText="1"/>
    </xf>
    <xf numFmtId="0" fontId="33" fillId="0" borderId="80" xfId="52" applyFont="1" applyBorder="1" applyAlignment="1">
      <alignment horizontal="center" vertical="top" wrapText="1"/>
      <protection/>
    </xf>
    <xf numFmtId="0" fontId="33" fillId="0" borderId="66" xfId="52" applyFont="1" applyBorder="1" applyAlignment="1">
      <alignment horizontal="center" vertical="top" wrapText="1"/>
      <protection/>
    </xf>
    <xf numFmtId="0" fontId="33" fillId="0" borderId="67" xfId="52" applyFont="1" applyBorder="1" applyAlignment="1">
      <alignment horizontal="center" vertical="top" wrapText="1"/>
      <protection/>
    </xf>
    <xf numFmtId="0" fontId="115" fillId="0" borderId="68" xfId="0" applyFont="1" applyBorder="1" applyAlignment="1">
      <alignment horizontal="center" vertical="top" wrapText="1"/>
    </xf>
    <xf numFmtId="0" fontId="37" fillId="0" borderId="78" xfId="52" applyFont="1" applyBorder="1" applyAlignment="1">
      <alignment horizontal="center" vertical="top" wrapText="1"/>
      <protection/>
    </xf>
    <xf numFmtId="0" fontId="33" fillId="0" borderId="52" xfId="52" applyFont="1" applyBorder="1" applyAlignment="1">
      <alignment vertical="top" wrapText="1"/>
      <protection/>
    </xf>
    <xf numFmtId="0" fontId="115" fillId="0" borderId="30" xfId="0" applyFont="1" applyBorder="1" applyAlignment="1">
      <alignment/>
    </xf>
    <xf numFmtId="1" fontId="33" fillId="0" borderId="45" xfId="52" applyNumberFormat="1" applyFont="1" applyBorder="1" applyAlignment="1">
      <alignment horizontal="center"/>
      <protection/>
    </xf>
    <xf numFmtId="1" fontId="33" fillId="0" borderId="35" xfId="52" applyNumberFormat="1" applyFont="1" applyBorder="1" applyAlignment="1">
      <alignment horizontal="center"/>
      <protection/>
    </xf>
    <xf numFmtId="2" fontId="33" fillId="0" borderId="46" xfId="52" applyNumberFormat="1" applyFont="1" applyBorder="1" applyAlignment="1">
      <alignment horizontal="center"/>
      <protection/>
    </xf>
    <xf numFmtId="165" fontId="33" fillId="0" borderId="30" xfId="52" applyNumberFormat="1" applyFont="1" applyBorder="1" applyAlignment="1">
      <alignment horizontal="center"/>
      <protection/>
    </xf>
    <xf numFmtId="172" fontId="33" fillId="0" borderId="34" xfId="52" applyNumberFormat="1" applyFont="1" applyBorder="1" applyAlignment="1">
      <alignment horizontal="center"/>
      <protection/>
    </xf>
    <xf numFmtId="172" fontId="33" fillId="0" borderId="35" xfId="52" applyNumberFormat="1" applyFont="1" applyBorder="1" applyAlignment="1">
      <alignment horizontal="center"/>
      <protection/>
    </xf>
    <xf numFmtId="4" fontId="115" fillId="0" borderId="35" xfId="0" applyNumberFormat="1" applyFont="1" applyBorder="1" applyAlignment="1">
      <alignment horizontal="center"/>
    </xf>
    <xf numFmtId="4" fontId="33" fillId="0" borderId="46" xfId="52" applyNumberFormat="1" applyFont="1" applyBorder="1" applyAlignment="1">
      <alignment horizontal="center"/>
      <protection/>
    </xf>
    <xf numFmtId="172" fontId="33" fillId="0" borderId="40" xfId="52" applyNumberFormat="1" applyFont="1" applyFill="1" applyBorder="1" applyAlignment="1">
      <alignment horizontal="center"/>
      <protection/>
    </xf>
    <xf numFmtId="172" fontId="33" fillId="0" borderId="30" xfId="52" applyNumberFormat="1" applyFont="1" applyBorder="1" applyAlignment="1">
      <alignment horizontal="center"/>
      <protection/>
    </xf>
    <xf numFmtId="0" fontId="115" fillId="0" borderId="31" xfId="0" applyFont="1" applyBorder="1" applyAlignment="1">
      <alignment wrapText="1"/>
    </xf>
    <xf numFmtId="0" fontId="115" fillId="0" borderId="31" xfId="0" applyFont="1" applyBorder="1" applyAlignment="1">
      <alignment/>
    </xf>
    <xf numFmtId="172" fontId="33" fillId="0" borderId="18" xfId="52" applyNumberFormat="1" applyFont="1" applyBorder="1" applyAlignment="1">
      <alignment horizontal="center"/>
      <protection/>
    </xf>
    <xf numFmtId="172" fontId="33" fillId="0" borderId="10" xfId="52" applyNumberFormat="1" applyFont="1" applyBorder="1" applyAlignment="1">
      <alignment horizontal="center"/>
      <protection/>
    </xf>
    <xf numFmtId="172" fontId="33" fillId="0" borderId="27" xfId="52" applyNumberFormat="1" applyFont="1" applyBorder="1" applyAlignment="1">
      <alignment horizontal="center"/>
      <protection/>
    </xf>
    <xf numFmtId="172" fontId="33" fillId="0" borderId="31" xfId="52" applyNumberFormat="1" applyFont="1" applyBorder="1" applyAlignment="1">
      <alignment horizontal="center"/>
      <protection/>
    </xf>
    <xf numFmtId="172" fontId="33" fillId="0" borderId="13" xfId="52" applyNumberFormat="1" applyFont="1" applyBorder="1" applyAlignment="1">
      <alignment horizontal="center"/>
      <protection/>
    </xf>
    <xf numFmtId="4" fontId="33" fillId="0" borderId="10" xfId="52" applyNumberFormat="1" applyFont="1" applyBorder="1" applyAlignment="1">
      <alignment horizontal="center"/>
      <protection/>
    </xf>
    <xf numFmtId="172" fontId="33" fillId="0" borderId="77" xfId="52" applyNumberFormat="1" applyFont="1" applyFill="1" applyBorder="1" applyAlignment="1">
      <alignment horizontal="center"/>
      <protection/>
    </xf>
    <xf numFmtId="0" fontId="33" fillId="0" borderId="31" xfId="0" applyFont="1" applyBorder="1" applyAlignment="1">
      <alignment/>
    </xf>
    <xf numFmtId="172" fontId="33" fillId="0" borderId="18" xfId="0" applyNumberFormat="1" applyFont="1" applyBorder="1" applyAlignment="1">
      <alignment/>
    </xf>
    <xf numFmtId="172" fontId="33" fillId="0" borderId="10" xfId="0" applyNumberFormat="1" applyFont="1" applyBorder="1" applyAlignment="1">
      <alignment/>
    </xf>
    <xf numFmtId="172" fontId="33" fillId="0" borderId="27" xfId="0" applyNumberFormat="1" applyFont="1" applyBorder="1" applyAlignment="1">
      <alignment/>
    </xf>
    <xf numFmtId="172" fontId="33" fillId="0" borderId="31" xfId="0" applyNumberFormat="1" applyFont="1" applyBorder="1" applyAlignment="1">
      <alignment/>
    </xf>
    <xf numFmtId="172" fontId="33" fillId="0" borderId="10" xfId="0" applyNumberFormat="1" applyFont="1" applyBorder="1" applyAlignment="1">
      <alignment horizontal="center"/>
    </xf>
    <xf numFmtId="4" fontId="33" fillId="0" borderId="10" xfId="0" applyNumberFormat="1" applyFont="1" applyBorder="1" applyAlignment="1">
      <alignment horizontal="center"/>
    </xf>
    <xf numFmtId="4" fontId="33" fillId="0" borderId="27" xfId="52" applyNumberFormat="1" applyFont="1" applyBorder="1" applyAlignment="1">
      <alignment horizontal="center"/>
      <protection/>
    </xf>
    <xf numFmtId="172" fontId="33" fillId="0" borderId="77" xfId="0" applyNumberFormat="1" applyFont="1" applyBorder="1" applyAlignment="1">
      <alignment horizontal="center"/>
    </xf>
    <xf numFmtId="0" fontId="115" fillId="0" borderId="32" xfId="0" applyFont="1" applyBorder="1" applyAlignment="1">
      <alignment/>
    </xf>
    <xf numFmtId="172" fontId="33" fillId="0" borderId="0" xfId="0" applyNumberFormat="1" applyFont="1" applyBorder="1" applyAlignment="1">
      <alignment/>
    </xf>
    <xf numFmtId="172" fontId="33" fillId="0" borderId="32" xfId="0" applyNumberFormat="1" applyFont="1" applyBorder="1" applyAlignment="1">
      <alignment/>
    </xf>
    <xf numFmtId="172" fontId="33" fillId="0" borderId="41" xfId="52" applyNumberFormat="1" applyFont="1" applyBorder="1" applyAlignment="1">
      <alignment horizontal="center"/>
      <protection/>
    </xf>
    <xf numFmtId="172" fontId="33" fillId="0" borderId="11" xfId="0" applyNumberFormat="1" applyFont="1" applyBorder="1" applyAlignment="1">
      <alignment horizontal="center"/>
    </xf>
    <xf numFmtId="4" fontId="33" fillId="0" borderId="11" xfId="0" applyNumberFormat="1" applyFont="1" applyBorder="1" applyAlignment="1">
      <alignment horizontal="center"/>
    </xf>
    <xf numFmtId="4" fontId="33" fillId="0" borderId="42" xfId="52" applyNumberFormat="1" applyFont="1" applyBorder="1" applyAlignment="1">
      <alignment horizontal="center"/>
      <protection/>
    </xf>
    <xf numFmtId="172" fontId="37" fillId="4" borderId="32" xfId="52" applyNumberFormat="1" applyFont="1" applyFill="1" applyBorder="1" applyAlignment="1">
      <alignment horizontal="center"/>
      <protection/>
    </xf>
    <xf numFmtId="172" fontId="33" fillId="0" borderId="81" xfId="0" applyNumberFormat="1" applyFont="1" applyBorder="1" applyAlignment="1">
      <alignment horizontal="center"/>
    </xf>
    <xf numFmtId="172" fontId="33" fillId="0" borderId="32" xfId="52" applyNumberFormat="1" applyFont="1" applyBorder="1" applyAlignment="1">
      <alignment horizontal="center"/>
      <protection/>
    </xf>
    <xf numFmtId="172" fontId="33" fillId="34" borderId="41" xfId="52" applyNumberFormat="1" applyFont="1" applyFill="1" applyBorder="1" applyAlignment="1">
      <alignment horizontal="center"/>
      <protection/>
    </xf>
    <xf numFmtId="172" fontId="33" fillId="0" borderId="11" xfId="52" applyNumberFormat="1" applyFont="1" applyBorder="1" applyAlignment="1">
      <alignment horizontal="center"/>
      <protection/>
    </xf>
    <xf numFmtId="172" fontId="114" fillId="4" borderId="32" xfId="0" applyNumberFormat="1" applyFont="1" applyFill="1" applyBorder="1" applyAlignment="1">
      <alignment horizontal="center"/>
    </xf>
    <xf numFmtId="172" fontId="115" fillId="0" borderId="81" xfId="0" applyNumberFormat="1" applyFont="1" applyBorder="1" applyAlignment="1">
      <alignment horizontal="center"/>
    </xf>
    <xf numFmtId="0" fontId="37" fillId="4" borderId="33" xfId="52" applyFont="1" applyFill="1" applyBorder="1">
      <alignment/>
      <protection/>
    </xf>
    <xf numFmtId="172" fontId="115" fillId="4" borderId="55" xfId="0" applyNumberFormat="1" applyFont="1" applyFill="1" applyBorder="1" applyAlignment="1">
      <alignment/>
    </xf>
    <xf numFmtId="172" fontId="115" fillId="4" borderId="22" xfId="0" applyNumberFormat="1" applyFont="1" applyFill="1" applyBorder="1" applyAlignment="1">
      <alignment horizontal="center"/>
    </xf>
    <xf numFmtId="172" fontId="115" fillId="4" borderId="22" xfId="0" applyNumberFormat="1" applyFont="1" applyFill="1" applyBorder="1" applyAlignment="1">
      <alignment/>
    </xf>
    <xf numFmtId="172" fontId="115" fillId="4" borderId="38" xfId="0" applyNumberFormat="1" applyFont="1" applyFill="1" applyBorder="1" applyAlignment="1">
      <alignment/>
    </xf>
    <xf numFmtId="172" fontId="115" fillId="4" borderId="17" xfId="0" applyNumberFormat="1" applyFont="1" applyFill="1" applyBorder="1" applyAlignment="1">
      <alignment/>
    </xf>
    <xf numFmtId="172" fontId="114" fillId="4" borderId="39" xfId="0" applyNumberFormat="1" applyFont="1" applyFill="1" applyBorder="1" applyAlignment="1">
      <alignment horizontal="center"/>
    </xf>
    <xf numFmtId="0" fontId="37" fillId="0" borderId="0" xfId="52" applyFont="1" applyFill="1" applyBorder="1">
      <alignment/>
      <protection/>
    </xf>
    <xf numFmtId="172" fontId="115" fillId="0" borderId="0" xfId="0" applyNumberFormat="1" applyFont="1" applyFill="1" applyBorder="1" applyAlignment="1">
      <alignment/>
    </xf>
    <xf numFmtId="172" fontId="115" fillId="0" borderId="0" xfId="0" applyNumberFormat="1" applyFont="1" applyFill="1" applyBorder="1" applyAlignment="1">
      <alignment horizontal="center"/>
    </xf>
    <xf numFmtId="0" fontId="33" fillId="0" borderId="66" xfId="52" applyFont="1" applyBorder="1" applyAlignment="1">
      <alignment horizontal="center" vertical="center" wrapText="1"/>
      <protection/>
    </xf>
    <xf numFmtId="0" fontId="33" fillId="0" borderId="67" xfId="52" applyFont="1" applyBorder="1" applyAlignment="1">
      <alignment horizontal="center" vertical="center" wrapText="1"/>
      <protection/>
    </xf>
    <xf numFmtId="0" fontId="27" fillId="0" borderId="0" xfId="52" applyFont="1" applyFill="1">
      <alignment/>
      <protection/>
    </xf>
    <xf numFmtId="0" fontId="33" fillId="0" borderId="0" xfId="52" applyFont="1" applyFill="1">
      <alignment/>
      <protection/>
    </xf>
    <xf numFmtId="0" fontId="33" fillId="0" borderId="65" xfId="52" applyFont="1" applyFill="1" applyBorder="1" applyAlignment="1">
      <alignment horizontal="center" vertical="center" wrapText="1"/>
      <protection/>
    </xf>
    <xf numFmtId="0" fontId="33" fillId="0" borderId="68" xfId="52" applyFont="1" applyFill="1" applyBorder="1" applyAlignment="1">
      <alignment horizontal="center" vertical="center" wrapText="1"/>
      <protection/>
    </xf>
    <xf numFmtId="0" fontId="33" fillId="0" borderId="30" xfId="52" applyFont="1" applyFill="1" applyBorder="1">
      <alignment/>
      <protection/>
    </xf>
    <xf numFmtId="165" fontId="33" fillId="0" borderId="59" xfId="52" applyNumberFormat="1" applyFont="1" applyFill="1" applyBorder="1" applyAlignment="1">
      <alignment horizontal="center"/>
      <protection/>
    </xf>
    <xf numFmtId="165" fontId="33" fillId="0" borderId="46" xfId="52" applyNumberFormat="1" applyFont="1" applyFill="1" applyBorder="1" applyAlignment="1">
      <alignment horizontal="center"/>
      <protection/>
    </xf>
    <xf numFmtId="3" fontId="33" fillId="0" borderId="46" xfId="52" applyNumberFormat="1" applyFont="1" applyFill="1" applyBorder="1" applyAlignment="1">
      <alignment horizontal="center"/>
      <protection/>
    </xf>
    <xf numFmtId="1" fontId="33" fillId="0" borderId="46" xfId="52" applyNumberFormat="1" applyFont="1" applyFill="1" applyBorder="1" applyAlignment="1">
      <alignment horizontal="center"/>
      <protection/>
    </xf>
    <xf numFmtId="0" fontId="33" fillId="0" borderId="46" xfId="52" applyFont="1" applyFill="1" applyBorder="1" applyAlignment="1">
      <alignment horizontal="center"/>
      <protection/>
    </xf>
    <xf numFmtId="4" fontId="33" fillId="0" borderId="46" xfId="52" applyNumberFormat="1" applyFont="1" applyFill="1" applyBorder="1" applyAlignment="1">
      <alignment horizontal="center"/>
      <protection/>
    </xf>
    <xf numFmtId="172" fontId="33" fillId="4" borderId="30" xfId="52" applyNumberFormat="1" applyFont="1" applyFill="1" applyBorder="1" applyAlignment="1">
      <alignment horizontal="center"/>
      <protection/>
    </xf>
    <xf numFmtId="172" fontId="33" fillId="4" borderId="61" xfId="52" applyNumberFormat="1" applyFont="1" applyFill="1" applyBorder="1" applyAlignment="1">
      <alignment horizontal="center" vertical="center"/>
      <protection/>
    </xf>
    <xf numFmtId="172" fontId="33" fillId="4" borderId="31" xfId="52" applyNumberFormat="1" applyFont="1" applyFill="1" applyBorder="1" applyAlignment="1">
      <alignment horizontal="center" vertical="center"/>
      <protection/>
    </xf>
    <xf numFmtId="0" fontId="33" fillId="0" borderId="31" xfId="52" applyFont="1" applyBorder="1" applyAlignment="1">
      <alignment vertical="top" wrapText="1"/>
      <protection/>
    </xf>
    <xf numFmtId="3" fontId="33" fillId="0" borderId="27" xfId="52" applyNumberFormat="1" applyFont="1" applyFill="1" applyBorder="1" applyAlignment="1">
      <alignment horizontal="center"/>
      <protection/>
    </xf>
    <xf numFmtId="172" fontId="33" fillId="4" borderId="31" xfId="52" applyNumberFormat="1" applyFont="1" applyFill="1" applyBorder="1" applyAlignment="1">
      <alignment horizontal="center"/>
      <protection/>
    </xf>
    <xf numFmtId="0" fontId="33" fillId="0" borderId="31" xfId="52" applyFont="1" applyFill="1" applyBorder="1">
      <alignment/>
      <protection/>
    </xf>
    <xf numFmtId="0" fontId="33" fillId="0" borderId="32" xfId="52" applyFont="1" applyFill="1" applyBorder="1">
      <alignment/>
      <protection/>
    </xf>
    <xf numFmtId="3" fontId="33" fillId="0" borderId="42" xfId="52" applyNumberFormat="1" applyFont="1" applyFill="1" applyBorder="1" applyAlignment="1">
      <alignment horizontal="center"/>
      <protection/>
    </xf>
    <xf numFmtId="172" fontId="33" fillId="4" borderId="32" xfId="52" applyNumberFormat="1" applyFont="1" applyFill="1" applyBorder="1" applyAlignment="1">
      <alignment horizontal="center"/>
      <protection/>
    </xf>
    <xf numFmtId="0" fontId="37" fillId="0" borderId="33" xfId="52" applyFont="1" applyFill="1" applyBorder="1">
      <alignment/>
      <protection/>
    </xf>
    <xf numFmtId="0" fontId="37" fillId="0" borderId="63" xfId="52" applyFont="1" applyFill="1" applyBorder="1" applyAlignment="1">
      <alignment horizontal="center"/>
      <protection/>
    </xf>
    <xf numFmtId="0" fontId="37" fillId="0" borderId="38" xfId="52" applyFont="1" applyFill="1" applyBorder="1" applyAlignment="1">
      <alignment horizontal="center"/>
      <protection/>
    </xf>
    <xf numFmtId="3" fontId="37" fillId="0" borderId="38" xfId="52" applyNumberFormat="1" applyFont="1" applyFill="1" applyBorder="1" applyAlignment="1">
      <alignment horizontal="center"/>
      <protection/>
    </xf>
    <xf numFmtId="4" fontId="37" fillId="0" borderId="38" xfId="52" applyNumberFormat="1" applyFont="1" applyFill="1" applyBorder="1" applyAlignment="1">
      <alignment horizontal="center"/>
      <protection/>
    </xf>
    <xf numFmtId="172" fontId="37" fillId="4" borderId="33" xfId="52" applyNumberFormat="1" applyFont="1" applyFill="1" applyBorder="1" applyAlignment="1">
      <alignment horizontal="center"/>
      <protection/>
    </xf>
    <xf numFmtId="172" fontId="37" fillId="4" borderId="63" xfId="52" applyNumberFormat="1" applyFont="1" applyFill="1" applyBorder="1" applyAlignment="1">
      <alignment horizontal="center"/>
      <protection/>
    </xf>
    <xf numFmtId="0" fontId="37" fillId="0" borderId="0" xfId="52" applyFont="1" applyFill="1">
      <alignment/>
      <protection/>
    </xf>
    <xf numFmtId="0" fontId="33" fillId="0" borderId="31" xfId="52" applyFont="1" applyFill="1" applyBorder="1" applyAlignment="1">
      <alignment wrapText="1"/>
      <protection/>
    </xf>
    <xf numFmtId="0" fontId="44" fillId="0" borderId="59" xfId="52" applyFont="1" applyBorder="1" applyAlignment="1">
      <alignment horizontal="left" wrapText="1"/>
      <protection/>
    </xf>
    <xf numFmtId="0" fontId="44" fillId="0" borderId="59" xfId="52" applyFont="1" applyBorder="1" applyAlignment="1">
      <alignment horizontal="center" wrapText="1"/>
      <protection/>
    </xf>
    <xf numFmtId="165" fontId="44" fillId="0" borderId="59" xfId="52" applyNumberFormat="1" applyFont="1" applyBorder="1" applyAlignment="1">
      <alignment horizontal="center" wrapText="1"/>
      <protection/>
    </xf>
    <xf numFmtId="165" fontId="44" fillId="0" borderId="59" xfId="52" applyNumberFormat="1" applyFont="1" applyBorder="1" applyAlignment="1">
      <alignment horizontal="right" wrapText="1"/>
      <protection/>
    </xf>
    <xf numFmtId="0" fontId="43" fillId="0" borderId="59" xfId="52" applyFont="1" applyBorder="1" applyAlignment="1">
      <alignment horizontal="center" wrapText="1"/>
      <protection/>
    </xf>
    <xf numFmtId="165" fontId="44" fillId="0" borderId="30" xfId="52" applyNumberFormat="1" applyFont="1" applyBorder="1" applyAlignment="1">
      <alignment horizontal="right" wrapText="1"/>
      <protection/>
    </xf>
    <xf numFmtId="1" fontId="44" fillId="0" borderId="59" xfId="52" applyNumberFormat="1" applyFont="1" applyBorder="1" applyAlignment="1">
      <alignment horizontal="center" wrapText="1"/>
      <protection/>
    </xf>
    <xf numFmtId="1" fontId="44" fillId="0" borderId="46" xfId="52" applyNumberFormat="1" applyFont="1" applyBorder="1" applyAlignment="1">
      <alignment horizontal="center" wrapText="1"/>
      <protection/>
    </xf>
    <xf numFmtId="164" fontId="44" fillId="0" borderId="46" xfId="52" applyNumberFormat="1" applyFont="1" applyBorder="1" applyAlignment="1">
      <alignment horizontal="center" wrapText="1"/>
      <protection/>
    </xf>
    <xf numFmtId="0" fontId="44" fillId="0" borderId="46" xfId="52" applyFont="1" applyBorder="1" applyAlignment="1">
      <alignment horizontal="center" wrapText="1"/>
      <protection/>
    </xf>
    <xf numFmtId="0" fontId="44" fillId="0" borderId="60" xfId="52" applyFont="1" applyBorder="1" applyAlignment="1">
      <alignment horizontal="center" wrapText="1"/>
      <protection/>
    </xf>
    <xf numFmtId="165" fontId="43" fillId="0" borderId="48" xfId="52" applyNumberFormat="1" applyFont="1" applyBorder="1" applyAlignment="1">
      <alignment horizontal="center" wrapText="1"/>
      <protection/>
    </xf>
    <xf numFmtId="2" fontId="44" fillId="0" borderId="59" xfId="52" applyNumberFormat="1" applyFont="1" applyBorder="1" applyAlignment="1">
      <alignment horizontal="right" wrapText="1"/>
      <protection/>
    </xf>
    <xf numFmtId="164" fontId="44" fillId="0" borderId="61" xfId="52" applyNumberFormat="1" applyFont="1" applyBorder="1" applyAlignment="1">
      <alignment horizontal="center" wrapText="1"/>
      <protection/>
    </xf>
    <xf numFmtId="165" fontId="43" fillId="0" borderId="61" xfId="52" applyNumberFormat="1" applyFont="1" applyBorder="1" applyAlignment="1">
      <alignment horizontal="center" wrapText="1"/>
      <protection/>
    </xf>
    <xf numFmtId="49" fontId="44" fillId="0" borderId="59" xfId="52" applyNumberFormat="1" applyFont="1" applyBorder="1" applyAlignment="1">
      <alignment horizontal="center" wrapText="1"/>
      <protection/>
    </xf>
    <xf numFmtId="49" fontId="44" fillId="0" borderId="46" xfId="52" applyNumberFormat="1" applyFont="1" applyBorder="1" applyAlignment="1">
      <alignment horizontal="center" wrapText="1"/>
      <protection/>
    </xf>
    <xf numFmtId="49" fontId="43" fillId="0" borderId="59" xfId="52" applyNumberFormat="1" applyFont="1" applyBorder="1" applyAlignment="1">
      <alignment horizontal="center" wrapText="1"/>
      <protection/>
    </xf>
    <xf numFmtId="2" fontId="43" fillId="0" borderId="61" xfId="52" applyNumberFormat="1" applyFont="1" applyBorder="1" applyAlignment="1">
      <alignment horizontal="center" wrapText="1"/>
      <protection/>
    </xf>
    <xf numFmtId="0" fontId="44" fillId="0" borderId="72" xfId="52" applyFont="1" applyBorder="1" applyAlignment="1">
      <alignment horizontal="left" wrapText="1"/>
      <protection/>
    </xf>
    <xf numFmtId="3" fontId="44" fillId="0" borderId="30" xfId="52" applyNumberFormat="1" applyFont="1" applyBorder="1" applyAlignment="1">
      <alignment horizontal="center"/>
      <protection/>
    </xf>
    <xf numFmtId="3" fontId="44" fillId="0" borderId="40" xfId="52" applyNumberFormat="1" applyFont="1" applyBorder="1" applyAlignment="1">
      <alignment horizontal="center"/>
      <protection/>
    </xf>
    <xf numFmtId="173" fontId="44" fillId="0" borderId="40" xfId="52" applyNumberFormat="1" applyFont="1" applyBorder="1" applyAlignment="1">
      <alignment horizontal="center"/>
      <protection/>
    </xf>
    <xf numFmtId="172" fontId="44" fillId="0" borderId="40" xfId="52" applyNumberFormat="1" applyFont="1" applyBorder="1" applyAlignment="1">
      <alignment horizontal="center"/>
      <protection/>
    </xf>
    <xf numFmtId="172" fontId="43" fillId="0" borderId="77" xfId="52" applyNumberFormat="1" applyFont="1" applyBorder="1" applyAlignment="1">
      <alignment horizontal="center"/>
      <protection/>
    </xf>
    <xf numFmtId="172" fontId="44" fillId="4" borderId="59" xfId="52" applyNumberFormat="1" applyFont="1" applyFill="1" applyBorder="1" applyAlignment="1">
      <alignment horizontal="right"/>
      <protection/>
    </xf>
    <xf numFmtId="172" fontId="44" fillId="4" borderId="12" xfId="52" applyNumberFormat="1" applyFont="1" applyFill="1" applyBorder="1">
      <alignment/>
      <protection/>
    </xf>
    <xf numFmtId="172" fontId="44" fillId="4" borderId="72" xfId="52" applyNumberFormat="1" applyFont="1" applyFill="1" applyBorder="1">
      <alignment/>
      <protection/>
    </xf>
    <xf numFmtId="4" fontId="44" fillId="0" borderId="0" xfId="52" applyNumberFormat="1" applyFont="1">
      <alignment/>
      <protection/>
    </xf>
    <xf numFmtId="0" fontId="44" fillId="0" borderId="31" xfId="52" applyFont="1" applyBorder="1" applyAlignment="1">
      <alignment vertical="top" wrapText="1"/>
      <protection/>
    </xf>
    <xf numFmtId="0" fontId="44" fillId="0" borderId="61" xfId="52" applyFont="1" applyBorder="1" applyAlignment="1">
      <alignment horizontal="center" wrapText="1"/>
      <protection/>
    </xf>
    <xf numFmtId="165" fontId="44" fillId="0" borderId="61" xfId="52" applyNumberFormat="1" applyFont="1" applyBorder="1" applyAlignment="1">
      <alignment horizontal="center" wrapText="1"/>
      <protection/>
    </xf>
    <xf numFmtId="165" fontId="44" fillId="0" borderId="61" xfId="52" applyNumberFormat="1" applyFont="1" applyBorder="1" applyAlignment="1">
      <alignment horizontal="right" wrapText="1"/>
      <protection/>
    </xf>
    <xf numFmtId="0" fontId="44" fillId="0" borderId="61" xfId="52" applyFont="1" applyBorder="1" applyAlignment="1">
      <alignment horizontal="left" wrapText="1"/>
      <protection/>
    </xf>
    <xf numFmtId="1" fontId="44" fillId="0" borderId="61" xfId="52" applyNumberFormat="1" applyFont="1" applyBorder="1" applyAlignment="1">
      <alignment horizontal="center" wrapText="1"/>
      <protection/>
    </xf>
    <xf numFmtId="1" fontId="44" fillId="0" borderId="27" xfId="52" applyNumberFormat="1" applyFont="1" applyBorder="1" applyAlignment="1">
      <alignment horizontal="center" wrapText="1"/>
      <protection/>
    </xf>
    <xf numFmtId="0" fontId="44" fillId="0" borderId="27" xfId="52" applyFont="1" applyBorder="1" applyAlignment="1">
      <alignment horizontal="center" wrapText="1"/>
      <protection/>
    </xf>
    <xf numFmtId="0" fontId="44" fillId="0" borderId="23" xfId="52" applyFont="1" applyBorder="1" applyAlignment="1">
      <alignment horizontal="center" wrapText="1"/>
      <protection/>
    </xf>
    <xf numFmtId="2" fontId="44" fillId="0" borderId="61" xfId="52" applyNumberFormat="1" applyFont="1" applyBorder="1" applyAlignment="1">
      <alignment horizontal="right" wrapText="1"/>
      <protection/>
    </xf>
    <xf numFmtId="49" fontId="44" fillId="0" borderId="61" xfId="52" applyNumberFormat="1" applyFont="1" applyBorder="1" applyAlignment="1">
      <alignment horizontal="center" wrapText="1"/>
      <protection/>
    </xf>
    <xf numFmtId="49" fontId="44" fillId="0" borderId="27" xfId="52" applyNumberFormat="1" applyFont="1" applyBorder="1" applyAlignment="1">
      <alignment horizontal="center" wrapText="1"/>
      <protection/>
    </xf>
    <xf numFmtId="0" fontId="44" fillId="0" borderId="31" xfId="52" applyFont="1" applyBorder="1" applyAlignment="1">
      <alignment horizontal="left" wrapText="1"/>
      <protection/>
    </xf>
    <xf numFmtId="3" fontId="44" fillId="0" borderId="31" xfId="52" applyNumberFormat="1" applyFont="1" applyBorder="1" applyAlignment="1">
      <alignment horizontal="center"/>
      <protection/>
    </xf>
    <xf numFmtId="3" fontId="44" fillId="0" borderId="77" xfId="52" applyNumberFormat="1" applyFont="1" applyBorder="1" applyAlignment="1">
      <alignment horizontal="center"/>
      <protection/>
    </xf>
    <xf numFmtId="172" fontId="44" fillId="0" borderId="77" xfId="52" applyNumberFormat="1" applyFont="1" applyBorder="1" applyAlignment="1">
      <alignment horizontal="center"/>
      <protection/>
    </xf>
    <xf numFmtId="173" fontId="44" fillId="0" borderId="77" xfId="52" applyNumberFormat="1" applyFont="1" applyBorder="1" applyAlignment="1">
      <alignment horizontal="center"/>
      <protection/>
    </xf>
    <xf numFmtId="172" fontId="44" fillId="4" borderId="13" xfId="52" applyNumberFormat="1" applyFont="1" applyFill="1" applyBorder="1">
      <alignment/>
      <protection/>
    </xf>
    <xf numFmtId="172" fontId="44" fillId="4" borderId="31" xfId="52" applyNumberFormat="1" applyFont="1" applyFill="1" applyBorder="1">
      <alignment/>
      <protection/>
    </xf>
    <xf numFmtId="165" fontId="44" fillId="0" borderId="31" xfId="52" applyNumberFormat="1" applyFont="1" applyBorder="1" applyAlignment="1">
      <alignment horizontal="right" wrapText="1"/>
      <protection/>
    </xf>
    <xf numFmtId="0" fontId="44" fillId="0" borderId="30" xfId="52" applyFont="1" applyBorder="1" applyAlignment="1">
      <alignment horizontal="left" wrapText="1"/>
      <protection/>
    </xf>
    <xf numFmtId="172" fontId="44" fillId="4" borderId="34" xfId="52" applyNumberFormat="1" applyFont="1" applyFill="1" applyBorder="1">
      <alignment/>
      <protection/>
    </xf>
    <xf numFmtId="172" fontId="44" fillId="4" borderId="30" xfId="52" applyNumberFormat="1" applyFont="1" applyFill="1" applyBorder="1">
      <alignment/>
      <protection/>
    </xf>
    <xf numFmtId="1" fontId="44" fillId="0" borderId="61" xfId="52" applyNumberFormat="1" applyFont="1" applyFill="1" applyBorder="1" applyAlignment="1">
      <alignment horizontal="center" wrapText="1"/>
      <protection/>
    </xf>
    <xf numFmtId="1" fontId="44" fillId="0" borderId="27" xfId="52" applyNumberFormat="1" applyFont="1" applyFill="1" applyBorder="1" applyAlignment="1">
      <alignment horizontal="center" wrapText="1"/>
      <protection/>
    </xf>
    <xf numFmtId="3" fontId="44" fillId="0" borderId="31" xfId="52" applyNumberFormat="1" applyFont="1" applyFill="1" applyBorder="1" applyAlignment="1">
      <alignment horizontal="center"/>
      <protection/>
    </xf>
    <xf numFmtId="3" fontId="44" fillId="0" borderId="77" xfId="52" applyNumberFormat="1" applyFont="1" applyFill="1" applyBorder="1" applyAlignment="1">
      <alignment horizontal="center"/>
      <protection/>
    </xf>
    <xf numFmtId="173" fontId="44" fillId="0" borderId="77" xfId="52" applyNumberFormat="1" applyFont="1" applyFill="1" applyBorder="1" applyAlignment="1">
      <alignment horizontal="center"/>
      <protection/>
    </xf>
    <xf numFmtId="4" fontId="44" fillId="0" borderId="77" xfId="52" applyNumberFormat="1" applyFont="1" applyBorder="1" applyAlignment="1">
      <alignment horizontal="center"/>
      <protection/>
    </xf>
    <xf numFmtId="0" fontId="44" fillId="0" borderId="62" xfId="52" applyFont="1" applyBorder="1" applyAlignment="1">
      <alignment horizontal="left" wrapText="1"/>
      <protection/>
    </xf>
    <xf numFmtId="0" fontId="44" fillId="0" borderId="62" xfId="52" applyFont="1" applyBorder="1" applyAlignment="1">
      <alignment horizontal="center" wrapText="1"/>
      <protection/>
    </xf>
    <xf numFmtId="165" fontId="44" fillId="0" borderId="62" xfId="52" applyNumberFormat="1" applyFont="1" applyBorder="1" applyAlignment="1">
      <alignment horizontal="center" wrapText="1"/>
      <protection/>
    </xf>
    <xf numFmtId="165" fontId="44" fillId="0" borderId="62" xfId="52" applyNumberFormat="1" applyFont="1" applyBorder="1" applyAlignment="1">
      <alignment horizontal="right" wrapText="1"/>
      <protection/>
    </xf>
    <xf numFmtId="1" fontId="44" fillId="0" borderId="62" xfId="52" applyNumberFormat="1" applyFont="1" applyBorder="1" applyAlignment="1">
      <alignment horizontal="center" wrapText="1"/>
      <protection/>
    </xf>
    <xf numFmtId="1" fontId="44" fillId="0" borderId="42" xfId="52" applyNumberFormat="1" applyFont="1" applyBorder="1" applyAlignment="1">
      <alignment horizontal="center" wrapText="1"/>
      <protection/>
    </xf>
    <xf numFmtId="0" fontId="44" fillId="0" borderId="42" xfId="52" applyFont="1" applyBorder="1" applyAlignment="1">
      <alignment horizontal="center" wrapText="1"/>
      <protection/>
    </xf>
    <xf numFmtId="0" fontId="44" fillId="0" borderId="24" xfId="52" applyFont="1" applyBorder="1" applyAlignment="1">
      <alignment horizontal="center" wrapText="1"/>
      <protection/>
    </xf>
    <xf numFmtId="49" fontId="44" fillId="0" borderId="62" xfId="52" applyNumberFormat="1" applyFont="1" applyBorder="1" applyAlignment="1">
      <alignment horizontal="center" wrapText="1"/>
      <protection/>
    </xf>
    <xf numFmtId="49" fontId="44" fillId="0" borderId="42" xfId="52" applyNumberFormat="1" applyFont="1" applyBorder="1" applyAlignment="1">
      <alignment horizontal="center" wrapText="1"/>
      <protection/>
    </xf>
    <xf numFmtId="0" fontId="44" fillId="0" borderId="49" xfId="52" applyFont="1" applyBorder="1" applyAlignment="1">
      <alignment horizontal="left" wrapText="1"/>
      <protection/>
    </xf>
    <xf numFmtId="3" fontId="44" fillId="0" borderId="32" xfId="52" applyNumberFormat="1" applyFont="1" applyBorder="1" applyAlignment="1">
      <alignment horizontal="center"/>
      <protection/>
    </xf>
    <xf numFmtId="3" fontId="44" fillId="0" borderId="81" xfId="52" applyNumberFormat="1" applyFont="1" applyBorder="1" applyAlignment="1">
      <alignment horizontal="center"/>
      <protection/>
    </xf>
    <xf numFmtId="173" fontId="44" fillId="0" borderId="81" xfId="52" applyNumberFormat="1" applyFont="1" applyBorder="1" applyAlignment="1">
      <alignment horizontal="center"/>
      <protection/>
    </xf>
    <xf numFmtId="172" fontId="44" fillId="0" borderId="81" xfId="52" applyNumberFormat="1" applyFont="1" applyBorder="1" applyAlignment="1">
      <alignment horizontal="center"/>
      <protection/>
    </xf>
    <xf numFmtId="172" fontId="44" fillId="4" borderId="41" xfId="52" applyNumberFormat="1" applyFont="1" applyFill="1" applyBorder="1">
      <alignment/>
      <protection/>
    </xf>
    <xf numFmtId="172" fontId="44" fillId="4" borderId="32" xfId="52" applyNumberFormat="1" applyFont="1" applyFill="1" applyBorder="1">
      <alignment/>
      <protection/>
    </xf>
    <xf numFmtId="0" fontId="43" fillId="0" borderId="63" xfId="52" applyFont="1" applyBorder="1" applyAlignment="1">
      <alignment/>
      <protection/>
    </xf>
    <xf numFmtId="165" fontId="43" fillId="0" borderId="33" xfId="52" applyNumberFormat="1" applyFont="1" applyBorder="1" applyAlignment="1">
      <alignment horizontal="right"/>
      <protection/>
    </xf>
    <xf numFmtId="1" fontId="43" fillId="0" borderId="63" xfId="52" applyNumberFormat="1" applyFont="1" applyBorder="1" applyAlignment="1">
      <alignment horizontal="center"/>
      <protection/>
    </xf>
    <xf numFmtId="165" fontId="43" fillId="0" borderId="38" xfId="52" applyNumberFormat="1" applyFont="1" applyBorder="1" applyAlignment="1">
      <alignment horizontal="right"/>
      <protection/>
    </xf>
    <xf numFmtId="165" fontId="43" fillId="0" borderId="56" xfId="52" applyNumberFormat="1" applyFont="1" applyBorder="1" applyAlignment="1">
      <alignment horizontal="right"/>
      <protection/>
    </xf>
    <xf numFmtId="165" fontId="43" fillId="0" borderId="63" xfId="52" applyNumberFormat="1" applyFont="1" applyBorder="1" applyAlignment="1">
      <alignment horizontal="right"/>
      <protection/>
    </xf>
    <xf numFmtId="0" fontId="43" fillId="0" borderId="38" xfId="52" applyFont="1" applyBorder="1" applyAlignment="1">
      <alignment horizontal="center"/>
      <protection/>
    </xf>
    <xf numFmtId="3" fontId="43" fillId="0" borderId="33" xfId="52" applyNumberFormat="1" applyFont="1" applyBorder="1" applyAlignment="1">
      <alignment horizontal="center"/>
      <protection/>
    </xf>
    <xf numFmtId="3" fontId="43" fillId="0" borderId="39" xfId="52" applyNumberFormat="1" applyFont="1" applyBorder="1" applyAlignment="1">
      <alignment horizontal="center"/>
      <protection/>
    </xf>
    <xf numFmtId="172" fontId="43" fillId="0" borderId="33" xfId="52" applyNumberFormat="1" applyFont="1" applyBorder="1" applyAlignment="1">
      <alignment horizontal="center"/>
      <protection/>
    </xf>
    <xf numFmtId="172" fontId="43" fillId="4" borderId="63" xfId="52" applyNumberFormat="1" applyFont="1" applyFill="1" applyBorder="1" applyAlignment="1">
      <alignment horizontal="right"/>
      <protection/>
    </xf>
    <xf numFmtId="172" fontId="43" fillId="4" borderId="17" xfId="52" applyNumberFormat="1" applyFont="1" applyFill="1" applyBorder="1">
      <alignment/>
      <protection/>
    </xf>
    <xf numFmtId="172" fontId="43" fillId="4" borderId="33" xfId="52" applyNumberFormat="1" applyFont="1" applyFill="1" applyBorder="1">
      <alignment/>
      <protection/>
    </xf>
    <xf numFmtId="0" fontId="37" fillId="0" borderId="0" xfId="52" applyFont="1" applyAlignment="1">
      <alignment horizontal="right" vertical="top" wrapText="1"/>
      <protection/>
    </xf>
    <xf numFmtId="0" fontId="33" fillId="0" borderId="30" xfId="52" applyFont="1" applyBorder="1" applyAlignment="1">
      <alignment horizontal="left" wrapText="1"/>
      <protection/>
    </xf>
    <xf numFmtId="172" fontId="33" fillId="0" borderId="47" xfId="52" applyNumberFormat="1" applyFont="1" applyBorder="1" applyAlignment="1">
      <alignment horizontal="right"/>
      <protection/>
    </xf>
    <xf numFmtId="3" fontId="33" fillId="0" borderId="47" xfId="52" applyNumberFormat="1" applyFont="1" applyBorder="1" applyAlignment="1">
      <alignment horizontal="center"/>
      <protection/>
    </xf>
    <xf numFmtId="173" fontId="33" fillId="0" borderId="46" xfId="52" applyNumberFormat="1" applyFont="1" applyBorder="1" applyAlignment="1">
      <alignment horizontal="center"/>
      <protection/>
    </xf>
    <xf numFmtId="173" fontId="33" fillId="0" borderId="35" xfId="52" applyNumberFormat="1" applyFont="1" applyBorder="1" applyAlignment="1">
      <alignment horizontal="center"/>
      <protection/>
    </xf>
    <xf numFmtId="3" fontId="33" fillId="0" borderId="60" xfId="52" applyNumberFormat="1" applyFont="1" applyBorder="1" applyAlignment="1">
      <alignment horizontal="center"/>
      <protection/>
    </xf>
    <xf numFmtId="172" fontId="33" fillId="0" borderId="0" xfId="52" applyNumberFormat="1" applyFont="1">
      <alignment/>
      <protection/>
    </xf>
    <xf numFmtId="3" fontId="33" fillId="0" borderId="48" xfId="52" applyNumberFormat="1" applyFont="1" applyBorder="1" applyAlignment="1">
      <alignment horizontal="center"/>
      <protection/>
    </xf>
    <xf numFmtId="173" fontId="33" fillId="0" borderId="27" xfId="52" applyNumberFormat="1" applyFont="1" applyBorder="1" applyAlignment="1">
      <alignment horizontal="center"/>
      <protection/>
    </xf>
    <xf numFmtId="0" fontId="33" fillId="0" borderId="31" xfId="52" applyFont="1" applyBorder="1" applyAlignment="1">
      <alignment horizontal="left" wrapText="1"/>
      <protection/>
    </xf>
    <xf numFmtId="172" fontId="33" fillId="0" borderId="48" xfId="52" applyNumberFormat="1" applyFont="1" applyBorder="1" applyAlignment="1">
      <alignment horizontal="right"/>
      <protection/>
    </xf>
    <xf numFmtId="172" fontId="33" fillId="0" borderId="48" xfId="52" applyNumberFormat="1" applyFont="1" applyFill="1" applyBorder="1" applyAlignment="1">
      <alignment horizontal="right"/>
      <protection/>
    </xf>
    <xf numFmtId="3" fontId="33" fillId="0" borderId="48" xfId="52" applyNumberFormat="1" applyFont="1" applyFill="1" applyBorder="1" applyAlignment="1">
      <alignment horizontal="center"/>
      <protection/>
    </xf>
    <xf numFmtId="0" fontId="33" fillId="0" borderId="32" xfId="52" applyFont="1" applyBorder="1" applyAlignment="1">
      <alignment horizontal="left" wrapText="1"/>
      <protection/>
    </xf>
    <xf numFmtId="172" fontId="33" fillId="0" borderId="54" xfId="52" applyNumberFormat="1" applyFont="1" applyBorder="1" applyAlignment="1">
      <alignment horizontal="right"/>
      <protection/>
    </xf>
    <xf numFmtId="3" fontId="33" fillId="0" borderId="54" xfId="52" applyNumberFormat="1" applyFont="1" applyBorder="1" applyAlignment="1">
      <alignment horizontal="center"/>
      <protection/>
    </xf>
    <xf numFmtId="0" fontId="37" fillId="0" borderId="33" xfId="52" applyFont="1" applyBorder="1" applyAlignment="1">
      <alignment/>
      <protection/>
    </xf>
    <xf numFmtId="172" fontId="37" fillId="0" borderId="56" xfId="52" applyNumberFormat="1" applyFont="1" applyBorder="1" applyAlignment="1">
      <alignment horizontal="right"/>
      <protection/>
    </xf>
    <xf numFmtId="3" fontId="37" fillId="0" borderId="56" xfId="52" applyNumberFormat="1" applyFont="1" applyBorder="1" applyAlignment="1">
      <alignment horizontal="center"/>
      <protection/>
    </xf>
    <xf numFmtId="3" fontId="37" fillId="0" borderId="38" xfId="52" applyNumberFormat="1" applyFont="1" applyBorder="1" applyAlignment="1">
      <alignment horizontal="center"/>
      <protection/>
    </xf>
    <xf numFmtId="172" fontId="37" fillId="0" borderId="22" xfId="52" applyNumberFormat="1" applyFont="1" applyBorder="1" applyAlignment="1">
      <alignment horizontal="center"/>
      <protection/>
    </xf>
    <xf numFmtId="172" fontId="37" fillId="0" borderId="25" xfId="52" applyNumberFormat="1" applyFont="1" applyBorder="1" applyAlignment="1">
      <alignment horizontal="center"/>
      <protection/>
    </xf>
    <xf numFmtId="165" fontId="33" fillId="0" borderId="0" xfId="52" applyNumberFormat="1" applyFont="1">
      <alignment/>
      <protection/>
    </xf>
    <xf numFmtId="0" fontId="12" fillId="4" borderId="33" xfId="52" applyFont="1" applyFill="1" applyBorder="1" applyAlignment="1">
      <alignment horizontal="center" wrapText="1"/>
      <protection/>
    </xf>
    <xf numFmtId="172" fontId="41" fillId="4" borderId="63" xfId="52" applyNumberFormat="1" applyFont="1" applyFill="1" applyBorder="1" applyAlignment="1">
      <alignment horizontal="right"/>
      <protection/>
    </xf>
    <xf numFmtId="172" fontId="41" fillId="4" borderId="39" xfId="52" applyNumberFormat="1" applyFont="1" applyFill="1" applyBorder="1" applyAlignment="1">
      <alignment horizontal="right"/>
      <protection/>
    </xf>
    <xf numFmtId="172" fontId="41" fillId="4" borderId="33" xfId="52" applyNumberFormat="1" applyFont="1" applyFill="1" applyBorder="1" applyAlignment="1">
      <alignment horizontal="right"/>
      <protection/>
    </xf>
    <xf numFmtId="165" fontId="15" fillId="0" borderId="10" xfId="0" applyNumberFormat="1" applyFont="1" applyFill="1" applyBorder="1" applyAlignment="1">
      <alignment horizontal="center"/>
    </xf>
    <xf numFmtId="0" fontId="55" fillId="0" borderId="47" xfId="0" applyFont="1" applyFill="1" applyBorder="1" applyAlignment="1">
      <alignment/>
    </xf>
    <xf numFmtId="0" fontId="55" fillId="0" borderId="45" xfId="0" applyFont="1" applyFill="1" applyBorder="1" applyAlignment="1">
      <alignment/>
    </xf>
    <xf numFmtId="0" fontId="56" fillId="0" borderId="14" xfId="0" applyFont="1" applyFill="1" applyBorder="1" applyAlignment="1">
      <alignment/>
    </xf>
    <xf numFmtId="0" fontId="56" fillId="0" borderId="0" xfId="0" applyFont="1" applyFill="1" applyAlignment="1">
      <alignment/>
    </xf>
    <xf numFmtId="1" fontId="56" fillId="0" borderId="0" xfId="0" applyNumberFormat="1" applyFont="1" applyFill="1" applyAlignment="1">
      <alignment/>
    </xf>
    <xf numFmtId="0" fontId="57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/>
    </xf>
    <xf numFmtId="2" fontId="54" fillId="0" borderId="10" xfId="0" applyNumberFormat="1" applyFont="1" applyFill="1" applyBorder="1" applyAlignment="1">
      <alignment horizontal="center"/>
    </xf>
    <xf numFmtId="2" fontId="57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0" xfId="0" applyNumberFormat="1" applyFont="1" applyFill="1" applyBorder="1" applyAlignment="1">
      <alignment horizontal="center"/>
    </xf>
    <xf numFmtId="165" fontId="29" fillId="0" borderId="10" xfId="0" applyNumberFormat="1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1" fontId="29" fillId="0" borderId="10" xfId="0" applyNumberFormat="1" applyFont="1" applyFill="1" applyBorder="1" applyAlignment="1">
      <alignment horizontal="center"/>
    </xf>
    <xf numFmtId="165" fontId="54" fillId="0" borderId="10" xfId="0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/>
    </xf>
    <xf numFmtId="0" fontId="54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vertical="top" wrapText="1"/>
    </xf>
    <xf numFmtId="165" fontId="120" fillId="0" borderId="1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2" fontId="57" fillId="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horizontal="center"/>
    </xf>
    <xf numFmtId="165" fontId="120" fillId="0" borderId="0" xfId="0" applyNumberFormat="1" applyFont="1" applyFill="1" applyBorder="1" applyAlignment="1">
      <alignment horizontal="center"/>
    </xf>
    <xf numFmtId="0" fontId="57" fillId="0" borderId="0" xfId="0" applyFont="1" applyFill="1" applyAlignment="1">
      <alignment/>
    </xf>
    <xf numFmtId="0" fontId="29" fillId="0" borderId="0" xfId="0" applyFont="1" applyFill="1" applyAlignment="1">
      <alignment/>
    </xf>
    <xf numFmtId="1" fontId="29" fillId="0" borderId="0" xfId="0" applyNumberFormat="1" applyFont="1" applyFill="1" applyAlignment="1">
      <alignment/>
    </xf>
    <xf numFmtId="165" fontId="57" fillId="0" borderId="10" xfId="0" applyNumberFormat="1" applyFont="1" applyFill="1" applyBorder="1" applyAlignment="1">
      <alignment horizontal="center"/>
    </xf>
    <xf numFmtId="0" fontId="58" fillId="0" borderId="0" xfId="0" applyFont="1" applyFill="1" applyAlignment="1">
      <alignment/>
    </xf>
    <xf numFmtId="0" fontId="56" fillId="0" borderId="0" xfId="0" applyFont="1" applyFill="1" applyAlignment="1">
      <alignment/>
    </xf>
    <xf numFmtId="1" fontId="56" fillId="0" borderId="0" xfId="0" applyNumberFormat="1" applyFont="1" applyFill="1" applyAlignment="1">
      <alignment/>
    </xf>
    <xf numFmtId="1" fontId="30" fillId="0" borderId="10" xfId="0" applyNumberFormat="1" applyFont="1" applyFill="1" applyBorder="1" applyAlignment="1">
      <alignment horizontal="center"/>
    </xf>
    <xf numFmtId="165" fontId="30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center"/>
    </xf>
    <xf numFmtId="0" fontId="30" fillId="0" borderId="10" xfId="0" applyNumberFormat="1" applyFont="1" applyFill="1" applyBorder="1" applyAlignment="1">
      <alignment horizontal="center"/>
    </xf>
    <xf numFmtId="172" fontId="52" fillId="34" borderId="10" xfId="0" applyNumberFormat="1" applyFont="1" applyFill="1" applyBorder="1" applyAlignment="1">
      <alignment wrapText="1"/>
    </xf>
    <xf numFmtId="172" fontId="121" fillId="34" borderId="10" xfId="0" applyNumberFormat="1" applyFont="1" applyFill="1" applyBorder="1" applyAlignment="1">
      <alignment wrapText="1"/>
    </xf>
    <xf numFmtId="172" fontId="52" fillId="34" borderId="10" xfId="0" applyNumberFormat="1" applyFont="1" applyFill="1" applyBorder="1" applyAlignment="1">
      <alignment horizontal="center" wrapText="1"/>
    </xf>
    <xf numFmtId="172" fontId="0" fillId="0" borderId="10" xfId="0" applyNumberFormat="1" applyFont="1" applyBorder="1" applyAlignment="1">
      <alignment horizontal="center" wrapText="1"/>
    </xf>
    <xf numFmtId="172" fontId="51" fillId="34" borderId="10" xfId="0" applyNumberFormat="1" applyFont="1" applyFill="1" applyBorder="1" applyAlignment="1">
      <alignment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22" fillId="0" borderId="10" xfId="0" applyFont="1" applyBorder="1" applyAlignment="1">
      <alignment horizontal="center" vertical="center" wrapText="1"/>
    </xf>
    <xf numFmtId="0" fontId="122" fillId="38" borderId="1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9" fillId="0" borderId="10" xfId="0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172" fontId="51" fillId="34" borderId="10" xfId="0" applyNumberFormat="1" applyFont="1" applyFill="1" applyBorder="1" applyAlignment="1">
      <alignment horizontal="center" wrapText="1"/>
    </xf>
    <xf numFmtId="172" fontId="11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13" fillId="0" borderId="27" xfId="0" applyFont="1" applyFill="1" applyBorder="1" applyAlignment="1">
      <alignment/>
    </xf>
    <xf numFmtId="172" fontId="113" fillId="0" borderId="13" xfId="0" applyNumberFormat="1" applyFont="1" applyBorder="1" applyAlignment="1">
      <alignment/>
    </xf>
    <xf numFmtId="172" fontId="113" fillId="0" borderId="23" xfId="0" applyNumberFormat="1" applyFont="1" applyBorder="1" applyAlignment="1">
      <alignment/>
    </xf>
    <xf numFmtId="172" fontId="113" fillId="0" borderId="18" xfId="0" applyNumberFormat="1" applyFont="1" applyBorder="1" applyAlignment="1">
      <alignment/>
    </xf>
    <xf numFmtId="0" fontId="123" fillId="0" borderId="0" xfId="0" applyFont="1" applyAlignment="1">
      <alignment/>
    </xf>
    <xf numFmtId="0" fontId="52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1" fillId="0" borderId="10" xfId="0" applyFont="1" applyFill="1" applyBorder="1" applyAlignment="1">
      <alignment/>
    </xf>
    <xf numFmtId="172" fontId="51" fillId="0" borderId="10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51" fillId="0" borderId="10" xfId="0" applyNumberFormat="1" applyFont="1" applyFill="1" applyBorder="1" applyAlignment="1">
      <alignment/>
    </xf>
    <xf numFmtId="0" fontId="53" fillId="39" borderId="10" xfId="0" applyFont="1" applyFill="1" applyBorder="1" applyAlignment="1">
      <alignment horizontal="center" vertical="center" wrapText="1"/>
    </xf>
    <xf numFmtId="172" fontId="51" fillId="39" borderId="10" xfId="0" applyNumberFormat="1" applyFont="1" applyFill="1" applyBorder="1" applyAlignment="1">
      <alignment/>
    </xf>
    <xf numFmtId="0" fontId="0" fillId="39" borderId="10" xfId="0" applyFill="1" applyBorder="1" applyAlignment="1">
      <alignment horizontal="center" vertical="center" wrapText="1"/>
    </xf>
    <xf numFmtId="172" fontId="52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39" borderId="10" xfId="0" applyNumberFormat="1" applyFill="1" applyBorder="1" applyAlignment="1">
      <alignment/>
    </xf>
    <xf numFmtId="172" fontId="52" fillId="39" borderId="10" xfId="0" applyNumberFormat="1" applyFont="1" applyFill="1" applyBorder="1" applyAlignment="1">
      <alignment/>
    </xf>
    <xf numFmtId="172" fontId="124" fillId="0" borderId="10" xfId="0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172" fontId="59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right" wrapText="1"/>
    </xf>
    <xf numFmtId="4" fontId="18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62" fillId="0" borderId="10" xfId="0" applyFont="1" applyFill="1" applyBorder="1" applyAlignment="1">
      <alignment horizontal="left" indent="2"/>
    </xf>
    <xf numFmtId="3" fontId="0" fillId="0" borderId="27" xfId="0" applyNumberForma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53" applyBorder="1">
      <alignment/>
      <protection/>
    </xf>
    <xf numFmtId="0" fontId="0" fillId="0" borderId="0" xfId="53" applyFill="1" applyBorder="1">
      <alignment/>
      <protection/>
    </xf>
    <xf numFmtId="0" fontId="11" fillId="0" borderId="0" xfId="53" applyFont="1" applyBorder="1">
      <alignment/>
      <protection/>
    </xf>
    <xf numFmtId="0" fontId="0" fillId="34" borderId="0" xfId="53" applyFill="1">
      <alignment/>
      <protection/>
    </xf>
    <xf numFmtId="0" fontId="0" fillId="0" borderId="10" xfId="53" applyFill="1" applyBorder="1" applyAlignment="1">
      <alignment/>
      <protection/>
    </xf>
    <xf numFmtId="0" fontId="4" fillId="10" borderId="11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4" fillId="0" borderId="42" xfId="53" applyFont="1" applyFill="1" applyBorder="1" applyAlignment="1">
      <alignment horizontal="center" vertical="center" wrapText="1"/>
      <protection/>
    </xf>
    <xf numFmtId="0" fontId="2" fillId="10" borderId="11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>
      <alignment/>
      <protection/>
    </xf>
    <xf numFmtId="3" fontId="1" fillId="10" borderId="10" xfId="53" applyNumberFormat="1" applyFont="1" applyFill="1" applyBorder="1">
      <alignment/>
      <protection/>
    </xf>
    <xf numFmtId="3" fontId="1" fillId="0" borderId="10" xfId="53" applyNumberFormat="1" applyFont="1" applyFill="1" applyBorder="1">
      <alignment/>
      <protection/>
    </xf>
    <xf numFmtId="0" fontId="1" fillId="0" borderId="27" xfId="53" applyFont="1" applyFill="1" applyBorder="1" applyAlignment="1">
      <alignment horizontal="center" vertical="center" wrapText="1"/>
      <protection/>
    </xf>
    <xf numFmtId="0" fontId="1" fillId="10" borderId="27" xfId="53" applyFont="1" applyFill="1" applyBorder="1" applyAlignment="1">
      <alignment horizontal="center" vertical="center" wrapText="1"/>
      <protection/>
    </xf>
    <xf numFmtId="3" fontId="1" fillId="0" borderId="27" xfId="53" applyNumberFormat="1" applyFont="1" applyFill="1" applyBorder="1" applyAlignment="1">
      <alignment horizontal="center" vertical="center" wrapText="1"/>
      <protection/>
    </xf>
    <xf numFmtId="3" fontId="1" fillId="0" borderId="42" xfId="53" applyNumberFormat="1" applyFont="1" applyFill="1" applyBorder="1" applyAlignment="1">
      <alignment horizontal="center" vertical="center" wrapText="1"/>
      <protection/>
    </xf>
    <xf numFmtId="188" fontId="1" fillId="0" borderId="42" xfId="53" applyNumberFormat="1" applyFont="1" applyFill="1" applyBorder="1" applyAlignment="1">
      <alignment horizontal="center" vertical="center" wrapText="1"/>
      <protection/>
    </xf>
    <xf numFmtId="3" fontId="7" fillId="10" borderId="10" xfId="53" applyNumberFormat="1" applyFont="1" applyFill="1" applyBorder="1">
      <alignment/>
      <protection/>
    </xf>
    <xf numFmtId="0" fontId="0" fillId="0" borderId="10" xfId="53" applyFont="1" applyFill="1" applyBorder="1">
      <alignment/>
      <protection/>
    </xf>
    <xf numFmtId="3" fontId="0" fillId="10" borderId="10" xfId="53" applyNumberFormat="1" applyFont="1" applyFill="1" applyBorder="1">
      <alignment/>
      <protection/>
    </xf>
    <xf numFmtId="3" fontId="0" fillId="0" borderId="10" xfId="53" applyNumberFormat="1" applyFont="1" applyFill="1" applyBorder="1">
      <alignment/>
      <protection/>
    </xf>
    <xf numFmtId="173" fontId="0" fillId="0" borderId="10" xfId="53" applyNumberFormat="1" applyFont="1" applyFill="1" applyBorder="1">
      <alignment/>
      <protection/>
    </xf>
    <xf numFmtId="3" fontId="0" fillId="0" borderId="27" xfId="53" applyNumberFormat="1" applyFont="1" applyFill="1" applyBorder="1" applyAlignment="1">
      <alignment horizontal="right" wrapText="1"/>
      <protection/>
    </xf>
    <xf numFmtId="3" fontId="0" fillId="10" borderId="27" xfId="53" applyNumberFormat="1" applyFont="1" applyFill="1" applyBorder="1" applyAlignment="1">
      <alignment horizontal="right" wrapText="1"/>
      <protection/>
    </xf>
    <xf numFmtId="0" fontId="0" fillId="10" borderId="27" xfId="53" applyFont="1" applyFill="1" applyBorder="1" applyAlignment="1">
      <alignment horizontal="center" vertical="center" wrapText="1"/>
      <protection/>
    </xf>
    <xf numFmtId="172" fontId="0" fillId="0" borderId="27" xfId="53" applyNumberFormat="1" applyFont="1" applyFill="1" applyBorder="1" applyAlignment="1">
      <alignment wrapText="1"/>
      <protection/>
    </xf>
    <xf numFmtId="173" fontId="0" fillId="0" borderId="27" xfId="53" applyNumberFormat="1" applyFont="1" applyFill="1" applyBorder="1" applyAlignment="1">
      <alignment wrapText="1"/>
      <protection/>
    </xf>
    <xf numFmtId="3" fontId="0" fillId="0" borderId="27" xfId="53" applyNumberFormat="1" applyFont="1" applyFill="1" applyBorder="1" applyAlignment="1">
      <alignment wrapText="1"/>
      <protection/>
    </xf>
    <xf numFmtId="189" fontId="0" fillId="0" borderId="42" xfId="53" applyNumberFormat="1" applyFont="1" applyFill="1" applyBorder="1" applyAlignment="1">
      <alignment horizontal="right" vertical="center" wrapText="1"/>
      <protection/>
    </xf>
    <xf numFmtId="4" fontId="0" fillId="0" borderId="27" xfId="53" applyNumberFormat="1" applyFont="1" applyFill="1" applyBorder="1" applyAlignment="1">
      <alignment wrapText="1"/>
      <protection/>
    </xf>
    <xf numFmtId="3" fontId="11" fillId="10" borderId="10" xfId="53" applyNumberFormat="1" applyFont="1" applyFill="1" applyBorder="1">
      <alignment/>
      <protection/>
    </xf>
    <xf numFmtId="0" fontId="0" fillId="0" borderId="10" xfId="53" applyFont="1" applyFill="1" applyBorder="1">
      <alignment/>
      <protection/>
    </xf>
    <xf numFmtId="3" fontId="0" fillId="0" borderId="27" xfId="53" applyNumberFormat="1" applyFont="1" applyFill="1" applyBorder="1">
      <alignment/>
      <protection/>
    </xf>
    <xf numFmtId="3" fontId="0" fillId="10" borderId="27" xfId="53" applyNumberFormat="1" applyFont="1" applyFill="1" applyBorder="1" applyAlignment="1">
      <alignment wrapText="1"/>
      <protection/>
    </xf>
    <xf numFmtId="0" fontId="0" fillId="0" borderId="10" xfId="53" applyFill="1" applyBorder="1">
      <alignment/>
      <protection/>
    </xf>
    <xf numFmtId="0" fontId="11" fillId="0" borderId="10" xfId="53" applyFont="1" applyFill="1" applyBorder="1">
      <alignment/>
      <protection/>
    </xf>
    <xf numFmtId="3" fontId="11" fillId="10" borderId="10" xfId="53" applyNumberFormat="1" applyFont="1" applyFill="1" applyBorder="1">
      <alignment/>
      <protection/>
    </xf>
    <xf numFmtId="3" fontId="11" fillId="0" borderId="10" xfId="53" applyNumberFormat="1" applyFont="1" applyFill="1" applyBorder="1">
      <alignment/>
      <protection/>
    </xf>
    <xf numFmtId="173" fontId="11" fillId="0" borderId="10" xfId="53" applyNumberFormat="1" applyFont="1" applyFill="1" applyBorder="1">
      <alignment/>
      <protection/>
    </xf>
    <xf numFmtId="172" fontId="11" fillId="0" borderId="10" xfId="53" applyNumberFormat="1" applyFont="1" applyFill="1" applyBorder="1">
      <alignment/>
      <protection/>
    </xf>
    <xf numFmtId="173" fontId="11" fillId="0" borderId="27" xfId="53" applyNumberFormat="1" applyFont="1" applyFill="1" applyBorder="1" applyAlignment="1">
      <alignment wrapText="1"/>
      <protection/>
    </xf>
    <xf numFmtId="3" fontId="11" fillId="0" borderId="10" xfId="53" applyNumberFormat="1" applyFont="1" applyFill="1" applyBorder="1" applyAlignment="1">
      <alignment wrapText="1"/>
      <protection/>
    </xf>
    <xf numFmtId="189" fontId="11" fillId="0" borderId="10" xfId="53" applyNumberFormat="1" applyFont="1" applyFill="1" applyBorder="1" applyAlignment="1">
      <alignment horizontal="right" vertical="center" wrapText="1"/>
      <protection/>
    </xf>
    <xf numFmtId="4" fontId="11" fillId="0" borderId="10" xfId="53" applyNumberFormat="1" applyFont="1" applyFill="1" applyBorder="1" applyAlignment="1">
      <alignment wrapText="1"/>
      <protection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Continuous"/>
    </xf>
    <xf numFmtId="0" fontId="0" fillId="0" borderId="47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wrapText="1"/>
    </xf>
    <xf numFmtId="188" fontId="1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Continuous" wrapText="1"/>
    </xf>
    <xf numFmtId="3" fontId="1" fillId="0" borderId="10" xfId="0" applyNumberFormat="1" applyFont="1" applyFill="1" applyBorder="1" applyAlignment="1">
      <alignment horizontal="right" wrapText="1"/>
    </xf>
    <xf numFmtId="0" fontId="0" fillId="0" borderId="27" xfId="0" applyFill="1" applyBorder="1" applyAlignment="1">
      <alignment/>
    </xf>
    <xf numFmtId="173" fontId="0" fillId="0" borderId="10" xfId="0" applyNumberForma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89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1" fillId="0" borderId="27" xfId="0" applyFont="1" applyFill="1" applyBorder="1" applyAlignment="1">
      <alignment/>
    </xf>
    <xf numFmtId="173" fontId="11" fillId="0" borderId="10" xfId="0" applyNumberFormat="1" applyFont="1" applyFill="1" applyBorder="1" applyAlignment="1">
      <alignment/>
    </xf>
    <xf numFmtId="173" fontId="11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189" fontId="11" fillId="0" borderId="10" xfId="0" applyNumberFormat="1" applyFont="1" applyFill="1" applyBorder="1" applyAlignment="1">
      <alignment/>
    </xf>
    <xf numFmtId="0" fontId="0" fillId="0" borderId="0" xfId="0" applyFont="1" applyAlignment="1">
      <alignment horizontal="centerContinuous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/>
    </xf>
    <xf numFmtId="172" fontId="11" fillId="0" borderId="27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vertical="center"/>
    </xf>
    <xf numFmtId="0" fontId="33" fillId="0" borderId="48" xfId="0" applyFont="1" applyFill="1" applyBorder="1" applyAlignment="1">
      <alignment vertical="center"/>
    </xf>
    <xf numFmtId="0" fontId="33" fillId="0" borderId="18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righ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0" fontId="42" fillId="0" borderId="10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wrapText="1"/>
    </xf>
    <xf numFmtId="172" fontId="18" fillId="0" borderId="35" xfId="0" applyNumberFormat="1" applyFont="1" applyFill="1" applyBorder="1" applyAlignment="1">
      <alignment horizontal="center" wrapText="1"/>
    </xf>
    <xf numFmtId="172" fontId="18" fillId="0" borderId="10" xfId="0" applyNumberFormat="1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left" wrapText="1" indent="1"/>
    </xf>
    <xf numFmtId="0" fontId="42" fillId="0" borderId="10" xfId="0" applyFont="1" applyFill="1" applyBorder="1" applyAlignment="1">
      <alignment/>
    </xf>
    <xf numFmtId="172" fontId="42" fillId="0" borderId="1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 horizontal="left" indent="1"/>
    </xf>
    <xf numFmtId="0" fontId="42" fillId="0" borderId="27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165" fontId="42" fillId="0" borderId="10" xfId="0" applyNumberFormat="1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/>
    </xf>
    <xf numFmtId="172" fontId="18" fillId="0" borderId="10" xfId="0" applyNumberFormat="1" applyFont="1" applyFill="1" applyBorder="1" applyAlignment="1">
      <alignment horizontal="right" wrapText="1"/>
    </xf>
    <xf numFmtId="172" fontId="42" fillId="0" borderId="10" xfId="0" applyNumberFormat="1" applyFont="1" applyFill="1" applyBorder="1" applyAlignment="1">
      <alignment/>
    </xf>
    <xf numFmtId="172" fontId="42" fillId="0" borderId="10" xfId="0" applyNumberFormat="1" applyFont="1" applyFill="1" applyBorder="1" applyAlignment="1">
      <alignment horizontal="center" vertical="center" wrapText="1"/>
    </xf>
    <xf numFmtId="172" fontId="42" fillId="0" borderId="10" xfId="0" applyNumberFormat="1" applyFont="1" applyBorder="1" applyAlignment="1">
      <alignment horizontal="center" vertical="center" wrapText="1"/>
    </xf>
    <xf numFmtId="172" fontId="18" fillId="0" borderId="10" xfId="0" applyNumberFormat="1" applyFont="1" applyFill="1" applyBorder="1" applyAlignment="1">
      <alignment wrapText="1"/>
    </xf>
    <xf numFmtId="172" fontId="63" fillId="0" borderId="10" xfId="0" applyNumberFormat="1" applyFont="1" applyFill="1" applyBorder="1" applyAlignment="1">
      <alignment horizontal="left" indent="1"/>
    </xf>
    <xf numFmtId="172" fontId="42" fillId="0" borderId="10" xfId="0" applyNumberFormat="1" applyFont="1" applyBorder="1" applyAlignment="1">
      <alignment/>
    </xf>
    <xf numFmtId="172" fontId="42" fillId="0" borderId="10" xfId="0" applyNumberFormat="1" applyFont="1" applyFill="1" applyBorder="1" applyAlignment="1">
      <alignment horizontal="left"/>
    </xf>
    <xf numFmtId="172" fontId="18" fillId="0" borderId="10" xfId="0" applyNumberFormat="1" applyFont="1" applyBorder="1" applyAlignment="1">
      <alignment horizontal="center" vertical="center"/>
    </xf>
    <xf numFmtId="172" fontId="18" fillId="0" borderId="10" xfId="0" applyNumberFormat="1" applyFont="1" applyBorder="1" applyAlignment="1">
      <alignment/>
    </xf>
    <xf numFmtId="172" fontId="63" fillId="0" borderId="10" xfId="0" applyNumberFormat="1" applyFont="1" applyFill="1" applyBorder="1" applyAlignment="1">
      <alignment horizontal="left"/>
    </xf>
    <xf numFmtId="172" fontId="15" fillId="0" borderId="10" xfId="0" applyNumberFormat="1" applyFont="1" applyFill="1" applyBorder="1" applyAlignment="1">
      <alignment horizontal="right" wrapText="1"/>
    </xf>
    <xf numFmtId="0" fontId="34" fillId="0" borderId="10" xfId="0" applyFont="1" applyBorder="1" applyAlignment="1">
      <alignment/>
    </xf>
    <xf numFmtId="172" fontId="34" fillId="0" borderId="10" xfId="0" applyNumberFormat="1" applyFont="1" applyFill="1" applyBorder="1" applyAlignment="1">
      <alignment/>
    </xf>
    <xf numFmtId="165" fontId="34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72" fontId="15" fillId="0" borderId="10" xfId="0" applyNumberFormat="1" applyFont="1" applyBorder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2" fillId="38" borderId="10" xfId="53" applyFont="1" applyFill="1" applyBorder="1" applyAlignment="1">
      <alignment horizontal="center" vertical="center" wrapText="1"/>
      <protection/>
    </xf>
    <xf numFmtId="0" fontId="11" fillId="38" borderId="10" xfId="0" applyFont="1" applyFill="1" applyBorder="1" applyAlignment="1">
      <alignment/>
    </xf>
    <xf numFmtId="165" fontId="11" fillId="38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189" fontId="33" fillId="0" borderId="10" xfId="0" applyNumberFormat="1" applyFont="1" applyFill="1" applyBorder="1" applyAlignment="1">
      <alignment horizontal="center"/>
    </xf>
    <xf numFmtId="173" fontId="37" fillId="0" borderId="10" xfId="0" applyNumberFormat="1" applyFont="1" applyFill="1" applyBorder="1" applyAlignment="1">
      <alignment horizontal="center"/>
    </xf>
    <xf numFmtId="172" fontId="37" fillId="0" borderId="10" xfId="0" applyNumberFormat="1" applyFont="1" applyFill="1" applyBorder="1" applyAlignment="1">
      <alignment/>
    </xf>
    <xf numFmtId="189" fontId="37" fillId="0" borderId="10" xfId="0" applyNumberFormat="1" applyFont="1" applyFill="1" applyBorder="1" applyAlignment="1">
      <alignment horizontal="center"/>
    </xf>
    <xf numFmtId="173" fontId="33" fillId="0" borderId="0" xfId="0" applyNumberFormat="1" applyFont="1" applyFill="1" applyBorder="1" applyAlignment="1">
      <alignment/>
    </xf>
    <xf numFmtId="190" fontId="33" fillId="0" borderId="0" xfId="0" applyNumberFormat="1" applyFont="1" applyFill="1" applyBorder="1" applyAlignment="1">
      <alignment horizontal="center"/>
    </xf>
    <xf numFmtId="172" fontId="33" fillId="0" borderId="1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31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wrapText="1"/>
    </xf>
    <xf numFmtId="0" fontId="15" fillId="0" borderId="48" xfId="0" applyFont="1" applyFill="1" applyBorder="1" applyAlignment="1">
      <alignment horizontal="center" wrapText="1"/>
    </xf>
    <xf numFmtId="176" fontId="11" fillId="0" borderId="11" xfId="60" applyNumberFormat="1" applyFont="1" applyFill="1" applyBorder="1" applyAlignment="1">
      <alignment horizontal="center" vertical="center" wrapText="1"/>
    </xf>
    <xf numFmtId="176" fontId="11" fillId="0" borderId="14" xfId="60" applyNumberFormat="1" applyFont="1" applyFill="1" applyBorder="1" applyAlignment="1">
      <alignment horizontal="center" vertical="center" wrapText="1"/>
    </xf>
    <xf numFmtId="176" fontId="11" fillId="0" borderId="35" xfId="60" applyNumberFormat="1" applyFont="1" applyFill="1" applyBorder="1" applyAlignment="1">
      <alignment horizontal="center" vertical="center" wrapText="1"/>
    </xf>
    <xf numFmtId="43" fontId="11" fillId="0" borderId="11" xfId="60" applyNumberFormat="1" applyFont="1" applyFill="1" applyBorder="1" applyAlignment="1">
      <alignment horizontal="center" vertical="center" wrapText="1"/>
    </xf>
    <xf numFmtId="43" fontId="11" fillId="0" borderId="14" xfId="60" applyNumberFormat="1" applyFont="1" applyFill="1" applyBorder="1" applyAlignment="1">
      <alignment horizontal="center" vertical="center" wrapText="1"/>
    </xf>
    <xf numFmtId="43" fontId="11" fillId="0" borderId="35" xfId="60" applyNumberFormat="1" applyFont="1" applyFill="1" applyBorder="1" applyAlignment="1">
      <alignment horizontal="center" vertical="center" wrapText="1"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35" xfId="52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/>
    </xf>
    <xf numFmtId="2" fontId="20" fillId="0" borderId="0" xfId="0" applyNumberFormat="1" applyFont="1" applyAlignment="1">
      <alignment horizontal="center" wrapText="1"/>
    </xf>
    <xf numFmtId="172" fontId="110" fillId="0" borderId="70" xfId="0" applyNumberFormat="1" applyFont="1" applyBorder="1" applyAlignment="1">
      <alignment horizontal="center"/>
    </xf>
    <xf numFmtId="172" fontId="110" fillId="0" borderId="82" xfId="0" applyNumberFormat="1" applyFont="1" applyBorder="1" applyAlignment="1">
      <alignment horizontal="center"/>
    </xf>
    <xf numFmtId="0" fontId="114" fillId="0" borderId="0" xfId="0" applyFont="1" applyAlignment="1">
      <alignment horizontal="center" vertical="center" wrapText="1"/>
    </xf>
    <xf numFmtId="0" fontId="110" fillId="0" borderId="0" xfId="0" applyFont="1" applyAlignment="1">
      <alignment horizontal="left" vertical="center" wrapText="1"/>
    </xf>
    <xf numFmtId="0" fontId="110" fillId="0" borderId="42" xfId="0" applyFont="1" applyBorder="1" applyAlignment="1">
      <alignment horizontal="center" vertical="center" wrapText="1"/>
    </xf>
    <xf numFmtId="0" fontId="110" fillId="0" borderId="26" xfId="0" applyFont="1" applyBorder="1" applyAlignment="1">
      <alignment horizontal="center" vertical="center" wrapText="1"/>
    </xf>
    <xf numFmtId="0" fontId="110" fillId="0" borderId="46" xfId="0" applyFont="1" applyBorder="1" applyAlignment="1">
      <alignment horizontal="center" vertical="center" wrapText="1"/>
    </xf>
    <xf numFmtId="172" fontId="30" fillId="4" borderId="13" xfId="0" applyNumberFormat="1" applyFont="1" applyFill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0" fontId="30" fillId="4" borderId="23" xfId="0" applyFont="1" applyFill="1" applyBorder="1" applyAlignment="1">
      <alignment horizontal="center"/>
    </xf>
    <xf numFmtId="172" fontId="29" fillId="0" borderId="10" xfId="0" applyNumberFormat="1" applyFont="1" applyFill="1" applyBorder="1" applyAlignment="1">
      <alignment horizontal="center"/>
    </xf>
    <xf numFmtId="172" fontId="29" fillId="0" borderId="27" xfId="0" applyNumberFormat="1" applyFont="1" applyFill="1" applyBorder="1" applyAlignment="1">
      <alignment horizontal="center"/>
    </xf>
    <xf numFmtId="172" fontId="29" fillId="0" borderId="13" xfId="0" applyNumberFormat="1" applyFont="1" applyFill="1" applyBorder="1" applyAlignment="1">
      <alignment horizontal="center"/>
    </xf>
    <xf numFmtId="172" fontId="30" fillId="4" borderId="23" xfId="0" applyNumberFormat="1" applyFont="1" applyFill="1" applyBorder="1" applyAlignment="1">
      <alignment horizontal="center"/>
    </xf>
    <xf numFmtId="172" fontId="29" fillId="0" borderId="61" xfId="0" applyNumberFormat="1" applyFont="1" applyFill="1" applyBorder="1" applyAlignment="1">
      <alignment horizontal="center"/>
    </xf>
    <xf numFmtId="172" fontId="29" fillId="0" borderId="18" xfId="0" applyNumberFormat="1" applyFont="1" applyFill="1" applyBorder="1" applyAlignment="1">
      <alignment horizontal="center"/>
    </xf>
    <xf numFmtId="172" fontId="30" fillId="4" borderId="61" xfId="0" applyNumberFormat="1" applyFont="1" applyFill="1" applyBorder="1" applyAlignment="1">
      <alignment horizontal="center"/>
    </xf>
    <xf numFmtId="172" fontId="30" fillId="4" borderId="77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27" fillId="0" borderId="53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/>
    </xf>
    <xf numFmtId="0" fontId="28" fillId="0" borderId="56" xfId="0" applyFont="1" applyFill="1" applyBorder="1" applyAlignment="1">
      <alignment horizontal="center"/>
    </xf>
    <xf numFmtId="0" fontId="28" fillId="0" borderId="39" xfId="0" applyFont="1" applyFill="1" applyBorder="1" applyAlignment="1">
      <alignment horizontal="center"/>
    </xf>
    <xf numFmtId="172" fontId="18" fillId="0" borderId="34" xfId="0" applyNumberFormat="1" applyFont="1" applyFill="1" applyBorder="1" applyAlignment="1">
      <alignment horizontal="center" vertical="center" wrapText="1"/>
    </xf>
    <xf numFmtId="172" fontId="18" fillId="0" borderId="35" xfId="0" applyNumberFormat="1" applyFont="1" applyFill="1" applyBorder="1" applyAlignment="1">
      <alignment horizontal="center" vertical="center" wrapText="1"/>
    </xf>
    <xf numFmtId="172" fontId="18" fillId="0" borderId="36" xfId="0" applyNumberFormat="1" applyFont="1" applyFill="1" applyBorder="1" applyAlignment="1">
      <alignment horizontal="center" vertical="center" wrapText="1"/>
    </xf>
    <xf numFmtId="172" fontId="18" fillId="0" borderId="37" xfId="0" applyNumberFormat="1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8" fillId="4" borderId="36" xfId="0" applyFont="1" applyFill="1" applyBorder="1" applyAlignment="1">
      <alignment horizontal="center" vertical="center" wrapText="1"/>
    </xf>
    <xf numFmtId="0" fontId="18" fillId="4" borderId="80" xfId="0" applyFont="1" applyFill="1" applyBorder="1" applyAlignment="1">
      <alignment horizontal="center" vertical="center" wrapText="1"/>
    </xf>
    <xf numFmtId="172" fontId="18" fillId="0" borderId="64" xfId="0" applyNumberFormat="1" applyFont="1" applyFill="1" applyBorder="1" applyAlignment="1">
      <alignment horizontal="center" vertical="center" wrapText="1"/>
    </xf>
    <xf numFmtId="172" fontId="18" fillId="0" borderId="83" xfId="0" applyNumberFormat="1" applyFont="1" applyFill="1" applyBorder="1" applyAlignment="1">
      <alignment horizontal="center" vertical="center" wrapText="1"/>
    </xf>
    <xf numFmtId="172" fontId="18" fillId="0" borderId="65" xfId="0" applyNumberFormat="1" applyFont="1" applyFill="1" applyBorder="1" applyAlignment="1">
      <alignment horizontal="center" vertical="center" wrapText="1"/>
    </xf>
    <xf numFmtId="172" fontId="18" fillId="0" borderId="79" xfId="0" applyNumberFormat="1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84" xfId="0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 wrapText="1"/>
    </xf>
    <xf numFmtId="0" fontId="18" fillId="4" borderId="85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86" xfId="0" applyFont="1" applyFill="1" applyBorder="1" applyAlignment="1">
      <alignment horizontal="center" vertical="center" wrapText="1"/>
    </xf>
    <xf numFmtId="172" fontId="18" fillId="0" borderId="87" xfId="0" applyNumberFormat="1" applyFont="1" applyFill="1" applyBorder="1" applyAlignment="1">
      <alignment horizontal="center" vertical="center" wrapText="1"/>
    </xf>
    <xf numFmtId="172" fontId="18" fillId="0" borderId="19" xfId="0" applyNumberFormat="1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4" borderId="84" xfId="0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 wrapText="1"/>
    </xf>
    <xf numFmtId="172" fontId="29" fillId="0" borderId="34" xfId="0" applyNumberFormat="1" applyFont="1" applyFill="1" applyBorder="1" applyAlignment="1">
      <alignment horizontal="center"/>
    </xf>
    <xf numFmtId="172" fontId="29" fillId="0" borderId="35" xfId="0" applyNumberFormat="1" applyFont="1" applyFill="1" applyBorder="1" applyAlignment="1">
      <alignment horizontal="center"/>
    </xf>
    <xf numFmtId="172" fontId="29" fillId="0" borderId="46" xfId="0" applyNumberFormat="1" applyFont="1" applyFill="1" applyBorder="1" applyAlignment="1">
      <alignment horizontal="center"/>
    </xf>
    <xf numFmtId="172" fontId="30" fillId="4" borderId="34" xfId="0" applyNumberFormat="1" applyFont="1" applyFill="1" applyBorder="1" applyAlignment="1">
      <alignment horizontal="center"/>
    </xf>
    <xf numFmtId="172" fontId="30" fillId="4" borderId="60" xfId="0" applyNumberFormat="1" applyFont="1" applyFill="1" applyBorder="1" applyAlignment="1">
      <alignment horizontal="center"/>
    </xf>
    <xf numFmtId="172" fontId="29" fillId="0" borderId="59" xfId="0" applyNumberFormat="1" applyFont="1" applyFill="1" applyBorder="1" applyAlignment="1">
      <alignment horizontal="center"/>
    </xf>
    <xf numFmtId="172" fontId="29" fillId="0" borderId="45" xfId="0" applyNumberFormat="1" applyFont="1" applyFill="1" applyBorder="1" applyAlignment="1">
      <alignment horizontal="center"/>
    </xf>
    <xf numFmtId="172" fontId="30" fillId="4" borderId="59" xfId="0" applyNumberFormat="1" applyFont="1" applyFill="1" applyBorder="1" applyAlignment="1">
      <alignment horizontal="center"/>
    </xf>
    <xf numFmtId="172" fontId="30" fillId="4" borderId="40" xfId="0" applyNumberFormat="1" applyFont="1" applyFill="1" applyBorder="1" applyAlignment="1">
      <alignment horizontal="center"/>
    </xf>
    <xf numFmtId="0" fontId="30" fillId="4" borderId="35" xfId="0" applyFont="1" applyFill="1" applyBorder="1" applyAlignment="1">
      <alignment horizontal="center"/>
    </xf>
    <xf numFmtId="0" fontId="30" fillId="4" borderId="60" xfId="0" applyFont="1" applyFill="1" applyBorder="1" applyAlignment="1">
      <alignment horizontal="center"/>
    </xf>
    <xf numFmtId="172" fontId="29" fillId="0" borderId="11" xfId="0" applyNumberFormat="1" applyFont="1" applyFill="1" applyBorder="1" applyAlignment="1">
      <alignment horizontal="center"/>
    </xf>
    <xf numFmtId="172" fontId="29" fillId="0" borderId="42" xfId="0" applyNumberFormat="1" applyFont="1" applyFill="1" applyBorder="1" applyAlignment="1">
      <alignment horizontal="center"/>
    </xf>
    <xf numFmtId="172" fontId="29" fillId="0" borderId="41" xfId="0" applyNumberFormat="1" applyFont="1" applyFill="1" applyBorder="1" applyAlignment="1">
      <alignment horizontal="center"/>
    </xf>
    <xf numFmtId="172" fontId="30" fillId="4" borderId="41" xfId="0" applyNumberFormat="1" applyFont="1" applyFill="1" applyBorder="1" applyAlignment="1">
      <alignment horizontal="center"/>
    </xf>
    <xf numFmtId="172" fontId="30" fillId="4" borderId="24" xfId="0" applyNumberFormat="1" applyFont="1" applyFill="1" applyBorder="1" applyAlignment="1">
      <alignment horizontal="center"/>
    </xf>
    <xf numFmtId="172" fontId="30" fillId="4" borderId="63" xfId="0" applyNumberFormat="1" applyFont="1" applyFill="1" applyBorder="1" applyAlignment="1">
      <alignment horizontal="center"/>
    </xf>
    <xf numFmtId="172" fontId="30" fillId="4" borderId="39" xfId="0" applyNumberFormat="1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0" fontId="30" fillId="4" borderId="24" xfId="0" applyFont="1" applyFill="1" applyBorder="1" applyAlignment="1">
      <alignment horizontal="center"/>
    </xf>
    <xf numFmtId="172" fontId="30" fillId="0" borderId="63" xfId="0" applyNumberFormat="1" applyFont="1" applyFill="1" applyBorder="1" applyAlignment="1">
      <alignment horizontal="center"/>
    </xf>
    <xf numFmtId="172" fontId="30" fillId="0" borderId="55" xfId="0" applyNumberFormat="1" applyFont="1" applyFill="1" applyBorder="1" applyAlignment="1">
      <alignment horizontal="center"/>
    </xf>
    <xf numFmtId="172" fontId="30" fillId="0" borderId="38" xfId="0" applyNumberFormat="1" applyFont="1" applyFill="1" applyBorder="1" applyAlignment="1">
      <alignment horizontal="center"/>
    </xf>
    <xf numFmtId="172" fontId="30" fillId="0" borderId="56" xfId="0" applyNumberFormat="1" applyFont="1" applyFill="1" applyBorder="1" applyAlignment="1">
      <alignment horizontal="center"/>
    </xf>
    <xf numFmtId="172" fontId="30" fillId="4" borderId="17" xfId="0" applyNumberFormat="1" applyFont="1" applyFill="1" applyBorder="1" applyAlignment="1">
      <alignment horizontal="center"/>
    </xf>
    <xf numFmtId="0" fontId="30" fillId="4" borderId="22" xfId="0" applyFont="1" applyFill="1" applyBorder="1" applyAlignment="1">
      <alignment horizontal="center"/>
    </xf>
    <xf numFmtId="0" fontId="30" fillId="4" borderId="25" xfId="0" applyFont="1" applyFill="1" applyBorder="1" applyAlignment="1">
      <alignment horizontal="center"/>
    </xf>
    <xf numFmtId="0" fontId="32" fillId="0" borderId="0" xfId="0" applyFont="1" applyFill="1" applyAlignment="1">
      <alignment horizontal="right" wrapText="1"/>
    </xf>
    <xf numFmtId="0" fontId="17" fillId="0" borderId="0" xfId="0" applyFont="1" applyFill="1" applyAlignment="1">
      <alignment horizontal="right" wrapText="1"/>
    </xf>
    <xf numFmtId="172" fontId="30" fillId="0" borderId="17" xfId="0" applyNumberFormat="1" applyFont="1" applyFill="1" applyBorder="1" applyAlignment="1">
      <alignment horizontal="center"/>
    </xf>
    <xf numFmtId="172" fontId="30" fillId="0" borderId="22" xfId="0" applyNumberFormat="1" applyFont="1" applyFill="1" applyBorder="1" applyAlignment="1">
      <alignment horizontal="center"/>
    </xf>
    <xf numFmtId="172" fontId="30" fillId="4" borderId="25" xfId="0" applyNumberFormat="1" applyFont="1" applyFill="1" applyBorder="1" applyAlignment="1">
      <alignment horizontal="center"/>
    </xf>
    <xf numFmtId="172" fontId="30" fillId="0" borderId="25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center" wrapText="1"/>
    </xf>
    <xf numFmtId="0" fontId="40" fillId="0" borderId="14" xfId="52" applyFont="1" applyFill="1" applyBorder="1" applyAlignment="1">
      <alignment horizontal="center" vertical="top" wrapText="1"/>
      <protection/>
    </xf>
    <xf numFmtId="0" fontId="40" fillId="0" borderId="67" xfId="52" applyFont="1" applyFill="1" applyBorder="1" applyAlignment="1">
      <alignment horizontal="center" vertical="top" wrapText="1"/>
      <protection/>
    </xf>
    <xf numFmtId="0" fontId="41" fillId="4" borderId="72" xfId="52" applyFont="1" applyFill="1" applyBorder="1" applyAlignment="1">
      <alignment horizontal="center" vertical="top" wrapText="1"/>
      <protection/>
    </xf>
    <xf numFmtId="0" fontId="41" fillId="4" borderId="31" xfId="52" applyFont="1" applyFill="1" applyBorder="1" applyAlignment="1">
      <alignment horizontal="center" vertical="top" wrapText="1"/>
      <protection/>
    </xf>
    <xf numFmtId="0" fontId="41" fillId="4" borderId="49" xfId="52" applyFont="1" applyFill="1" applyBorder="1" applyAlignment="1">
      <alignment horizontal="center" vertical="top" wrapText="1"/>
      <protection/>
    </xf>
    <xf numFmtId="0" fontId="40" fillId="0" borderId="0" xfId="52" applyFont="1" applyFill="1" applyBorder="1" applyAlignment="1">
      <alignment horizontal="center" vertical="top" wrapText="1"/>
      <protection/>
    </xf>
    <xf numFmtId="0" fontId="40" fillId="0" borderId="26" xfId="52" applyFont="1" applyFill="1" applyBorder="1" applyAlignment="1">
      <alignment horizontal="center" vertical="top" wrapText="1"/>
      <protection/>
    </xf>
    <xf numFmtId="0" fontId="40" fillId="0" borderId="68" xfId="52" applyFont="1" applyFill="1" applyBorder="1" applyAlignment="1">
      <alignment horizontal="center" vertical="top" wrapText="1"/>
      <protection/>
    </xf>
    <xf numFmtId="0" fontId="40" fillId="0" borderId="14" xfId="52" applyFont="1" applyFill="1" applyBorder="1" applyAlignment="1">
      <alignment horizontal="center" vertical="center" wrapText="1"/>
      <protection/>
    </xf>
    <xf numFmtId="0" fontId="40" fillId="0" borderId="67" xfId="52" applyFont="1" applyFill="1" applyBorder="1" applyAlignment="1">
      <alignment horizontal="center" vertical="center" wrapText="1"/>
      <protection/>
    </xf>
    <xf numFmtId="0" fontId="38" fillId="0" borderId="0" xfId="52" applyFont="1" applyAlignment="1">
      <alignment horizontal="center" wrapText="1"/>
      <protection/>
    </xf>
    <xf numFmtId="0" fontId="40" fillId="0" borderId="51" xfId="52" applyFont="1" applyFill="1" applyBorder="1" applyAlignment="1">
      <alignment horizontal="center" vertical="center" wrapText="1"/>
      <protection/>
    </xf>
    <xf numFmtId="0" fontId="40" fillId="0" borderId="52" xfId="52" applyFont="1" applyFill="1" applyBorder="1" applyAlignment="1">
      <alignment horizontal="center" vertical="center" wrapText="1"/>
      <protection/>
    </xf>
    <xf numFmtId="0" fontId="40" fillId="0" borderId="78" xfId="52" applyFont="1" applyFill="1" applyBorder="1" applyAlignment="1">
      <alignment horizontal="center" vertical="center" wrapText="1"/>
      <protection/>
    </xf>
    <xf numFmtId="0" fontId="40" fillId="0" borderId="83" xfId="52" applyFont="1" applyFill="1" applyBorder="1" applyAlignment="1">
      <alignment horizontal="center" vertical="center" wrapText="1"/>
      <protection/>
    </xf>
    <xf numFmtId="0" fontId="40" fillId="0" borderId="19" xfId="52" applyFont="1" applyFill="1" applyBorder="1" applyAlignment="1">
      <alignment horizontal="center" vertical="center" wrapText="1"/>
      <protection/>
    </xf>
    <xf numFmtId="0" fontId="40" fillId="0" borderId="79" xfId="52" applyFont="1" applyFill="1" applyBorder="1" applyAlignment="1">
      <alignment horizontal="center" vertical="center" wrapText="1"/>
      <protection/>
    </xf>
    <xf numFmtId="0" fontId="40" fillId="0" borderId="43" xfId="52" applyFont="1" applyFill="1" applyBorder="1" applyAlignment="1">
      <alignment horizontal="center" vertical="center" wrapText="1"/>
      <protection/>
    </xf>
    <xf numFmtId="0" fontId="41" fillId="0" borderId="0" xfId="52" applyFont="1" applyFill="1" applyBorder="1" applyAlignment="1">
      <alignment horizontal="center" vertical="top" wrapText="1"/>
      <protection/>
    </xf>
    <xf numFmtId="172" fontId="40" fillId="0" borderId="0" xfId="52" applyNumberFormat="1" applyFont="1" applyFill="1" applyAlignment="1">
      <alignment horizontal="center"/>
      <protection/>
    </xf>
    <xf numFmtId="0" fontId="40" fillId="0" borderId="0" xfId="52" applyFont="1" applyFill="1" applyAlignment="1">
      <alignment horizontal="center"/>
      <protection/>
    </xf>
    <xf numFmtId="0" fontId="40" fillId="0" borderId="43" xfId="52" applyFont="1" applyFill="1" applyBorder="1" applyAlignment="1">
      <alignment vertical="center" wrapText="1"/>
      <protection/>
    </xf>
    <xf numFmtId="0" fontId="40" fillId="0" borderId="14" xfId="52" applyFont="1" applyFill="1" applyBorder="1" applyAlignment="1">
      <alignment vertical="center" wrapText="1"/>
      <protection/>
    </xf>
    <xf numFmtId="0" fontId="41" fillId="0" borderId="51" xfId="52" applyFont="1" applyFill="1" applyBorder="1" applyAlignment="1">
      <alignment vertical="center" wrapText="1"/>
      <protection/>
    </xf>
    <xf numFmtId="0" fontId="41" fillId="0" borderId="52" xfId="52" applyFont="1" applyFill="1" applyBorder="1" applyAlignment="1">
      <alignment vertical="center" wrapText="1"/>
      <protection/>
    </xf>
    <xf numFmtId="0" fontId="41" fillId="4" borderId="88" xfId="52" applyFont="1" applyFill="1" applyBorder="1" applyAlignment="1">
      <alignment horizontal="center" vertical="top" wrapText="1"/>
      <protection/>
    </xf>
    <xf numFmtId="0" fontId="41" fillId="4" borderId="48" xfId="52" applyFont="1" applyFill="1" applyBorder="1" applyAlignment="1">
      <alignment horizontal="center" vertical="top" wrapText="1"/>
      <protection/>
    </xf>
    <xf numFmtId="0" fontId="41" fillId="4" borderId="50" xfId="52" applyFont="1" applyFill="1" applyBorder="1" applyAlignment="1">
      <alignment horizontal="center" vertical="top" wrapText="1"/>
      <protection/>
    </xf>
    <xf numFmtId="0" fontId="41" fillId="0" borderId="30" xfId="52" applyFont="1" applyFill="1" applyBorder="1" applyAlignment="1">
      <alignment vertical="center" wrapText="1"/>
      <protection/>
    </xf>
    <xf numFmtId="0" fontId="40" fillId="0" borderId="35" xfId="52" applyFont="1" applyFill="1" applyBorder="1" applyAlignment="1">
      <alignment vertical="center" wrapText="1"/>
      <protection/>
    </xf>
    <xf numFmtId="0" fontId="13" fillId="0" borderId="0" xfId="52" applyFont="1" applyAlignment="1">
      <alignment horizontal="center"/>
      <protection/>
    </xf>
    <xf numFmtId="0" fontId="13" fillId="0" borderId="0" xfId="52" applyFont="1" applyAlignment="1">
      <alignment horizontal="center" vertical="top" wrapText="1"/>
      <protection/>
    </xf>
    <xf numFmtId="0" fontId="43" fillId="0" borderId="0" xfId="52" applyFont="1" applyAlignment="1">
      <alignment horizontal="center" vertical="top" wrapText="1"/>
      <protection/>
    </xf>
    <xf numFmtId="0" fontId="13" fillId="0" borderId="0" xfId="52" applyFont="1" applyBorder="1" applyAlignment="1">
      <alignment horizontal="center" vertical="center" wrapText="1"/>
      <protection/>
    </xf>
    <xf numFmtId="0" fontId="12" fillId="0" borderId="0" xfId="52" applyFont="1" applyAlignment="1">
      <alignment horizontal="center" wrapText="1"/>
      <protection/>
    </xf>
    <xf numFmtId="0" fontId="16" fillId="0" borderId="83" xfId="52" applyFont="1" applyBorder="1" applyAlignment="1">
      <alignment horizontal="center" vertical="top" wrapText="1"/>
      <protection/>
    </xf>
    <xf numFmtId="0" fontId="16" fillId="0" borderId="79" xfId="52" applyFont="1" applyBorder="1" applyAlignment="1">
      <alignment horizontal="center" vertical="top" wrapText="1"/>
      <protection/>
    </xf>
    <xf numFmtId="0" fontId="13" fillId="0" borderId="0" xfId="52" applyFont="1" applyBorder="1" applyAlignment="1">
      <alignment horizontal="center" wrapText="1"/>
      <protection/>
    </xf>
    <xf numFmtId="0" fontId="16" fillId="0" borderId="58" xfId="52" applyFont="1" applyBorder="1" applyAlignment="1">
      <alignment horizontal="center" vertical="center" wrapText="1"/>
      <protection/>
    </xf>
    <xf numFmtId="0" fontId="16" fillId="0" borderId="69" xfId="52" applyFont="1" applyBorder="1" applyAlignment="1">
      <alignment horizontal="center" vertical="center" wrapText="1"/>
      <protection/>
    </xf>
    <xf numFmtId="0" fontId="16" fillId="4" borderId="58" xfId="52" applyFont="1" applyFill="1" applyBorder="1" applyAlignment="1">
      <alignment horizontal="center" vertical="center" wrapText="1"/>
      <protection/>
    </xf>
    <xf numFmtId="0" fontId="16" fillId="4" borderId="69" xfId="52" applyFont="1" applyFill="1" applyBorder="1" applyAlignment="1">
      <alignment horizontal="center" vertical="center" wrapText="1"/>
      <protection/>
    </xf>
    <xf numFmtId="0" fontId="13" fillId="0" borderId="0" xfId="52" applyFont="1" applyAlignment="1">
      <alignment horizontal="center" wrapText="1"/>
      <protection/>
    </xf>
    <xf numFmtId="0" fontId="37" fillId="0" borderId="0" xfId="52" applyFont="1" applyBorder="1" applyAlignment="1">
      <alignment horizontal="center" wrapText="1"/>
      <protection/>
    </xf>
    <xf numFmtId="0" fontId="16" fillId="0" borderId="64" xfId="52" applyFont="1" applyBorder="1" applyAlignment="1">
      <alignment horizontal="center" vertical="center"/>
      <protection/>
    </xf>
    <xf numFmtId="0" fontId="16" fillId="0" borderId="65" xfId="52" applyFont="1" applyBorder="1" applyAlignment="1">
      <alignment horizontal="center" vertical="center"/>
      <protection/>
    </xf>
    <xf numFmtId="0" fontId="16" fillId="0" borderId="63" xfId="52" applyFont="1" applyBorder="1" applyAlignment="1">
      <alignment horizontal="center" vertical="center"/>
      <protection/>
    </xf>
    <xf numFmtId="0" fontId="16" fillId="0" borderId="56" xfId="52" applyFont="1" applyBorder="1" applyAlignment="1">
      <alignment horizontal="center" vertical="center"/>
      <protection/>
    </xf>
    <xf numFmtId="0" fontId="16" fillId="0" borderId="39" xfId="52" applyFont="1" applyBorder="1" applyAlignment="1">
      <alignment horizontal="center" vertical="center"/>
      <protection/>
    </xf>
    <xf numFmtId="0" fontId="16" fillId="0" borderId="63" xfId="52" applyFont="1" applyBorder="1" applyAlignment="1">
      <alignment horizontal="center" vertical="center" wrapText="1"/>
      <protection/>
    </xf>
    <xf numFmtId="0" fontId="16" fillId="0" borderId="56" xfId="52" applyFont="1" applyBorder="1" applyAlignment="1">
      <alignment horizontal="center" vertical="center" wrapText="1"/>
      <protection/>
    </xf>
    <xf numFmtId="0" fontId="16" fillId="0" borderId="39" xfId="52" applyFont="1" applyBorder="1" applyAlignment="1">
      <alignment horizontal="center" vertical="center" wrapText="1"/>
      <protection/>
    </xf>
    <xf numFmtId="0" fontId="125" fillId="0" borderId="0" xfId="0" applyFont="1" applyAlignment="1">
      <alignment horizontal="center"/>
    </xf>
    <xf numFmtId="2" fontId="125" fillId="0" borderId="0" xfId="0" applyNumberFormat="1" applyFont="1" applyAlignment="1">
      <alignment horizontal="center" vertical="top" wrapText="1"/>
    </xf>
    <xf numFmtId="0" fontId="33" fillId="0" borderId="0" xfId="0" applyFont="1" applyBorder="1" applyAlignment="1">
      <alignment horizontal="right"/>
    </xf>
    <xf numFmtId="0" fontId="44" fillId="0" borderId="51" xfId="52" applyFont="1" applyBorder="1" applyAlignment="1">
      <alignment horizontal="center" vertical="center" wrapText="1"/>
      <protection/>
    </xf>
    <xf numFmtId="0" fontId="44" fillId="0" borderId="52" xfId="52" applyFont="1" applyBorder="1" applyAlignment="1">
      <alignment horizontal="center" vertical="center" wrapText="1"/>
      <protection/>
    </xf>
    <xf numFmtId="0" fontId="44" fillId="0" borderId="78" xfId="52" applyFont="1" applyBorder="1" applyAlignment="1">
      <alignment horizontal="center" vertical="center" wrapText="1"/>
      <protection/>
    </xf>
    <xf numFmtId="0" fontId="44" fillId="0" borderId="84" xfId="52" applyFont="1" applyBorder="1" applyAlignment="1">
      <alignment horizontal="center" vertical="center" wrapText="1"/>
      <protection/>
    </xf>
    <xf numFmtId="0" fontId="44" fillId="0" borderId="47" xfId="52" applyFont="1" applyBorder="1" applyAlignment="1">
      <alignment horizontal="center" vertical="center" wrapText="1"/>
      <protection/>
    </xf>
    <xf numFmtId="0" fontId="43" fillId="0" borderId="17" xfId="52" applyFont="1" applyBorder="1" applyAlignment="1">
      <alignment horizontal="center" vertical="center" wrapText="1"/>
      <protection/>
    </xf>
    <xf numFmtId="0" fontId="43" fillId="0" borderId="22" xfId="52" applyFont="1" applyBorder="1" applyAlignment="1">
      <alignment horizontal="center" vertical="center" wrapText="1"/>
      <protection/>
    </xf>
    <xf numFmtId="0" fontId="43" fillId="0" borderId="25" xfId="52" applyFont="1" applyBorder="1" applyAlignment="1">
      <alignment horizontal="center" vertical="center" wrapText="1"/>
      <protection/>
    </xf>
    <xf numFmtId="0" fontId="44" fillId="0" borderId="64" xfId="52" applyFont="1" applyBorder="1" applyAlignment="1">
      <alignment horizontal="center" vertical="top" wrapText="1"/>
      <protection/>
    </xf>
    <xf numFmtId="0" fontId="44" fillId="0" borderId="34" xfId="52" applyFont="1" applyBorder="1" applyAlignment="1">
      <alignment horizontal="center" vertical="top" wrapText="1"/>
      <protection/>
    </xf>
    <xf numFmtId="0" fontId="43" fillId="0" borderId="20" xfId="52" applyFont="1" applyBorder="1" applyAlignment="1">
      <alignment horizontal="center" vertical="center" wrapText="1"/>
      <protection/>
    </xf>
    <xf numFmtId="0" fontId="43" fillId="0" borderId="43" xfId="52" applyFont="1" applyBorder="1" applyAlignment="1">
      <alignment horizontal="center" vertical="center" wrapText="1"/>
      <protection/>
    </xf>
    <xf numFmtId="0" fontId="43" fillId="0" borderId="58" xfId="52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43" fillId="0" borderId="51" xfId="52" applyFont="1" applyBorder="1" applyAlignment="1">
      <alignment horizontal="center" vertical="center" wrapText="1"/>
      <protection/>
    </xf>
    <xf numFmtId="0" fontId="43" fillId="0" borderId="52" xfId="52" applyFont="1" applyBorder="1" applyAlignment="1">
      <alignment horizontal="center" vertical="center" wrapText="1"/>
      <protection/>
    </xf>
    <xf numFmtId="0" fontId="43" fillId="0" borderId="78" xfId="52" applyFont="1" applyBorder="1" applyAlignment="1">
      <alignment horizontal="center" vertical="center" wrapText="1"/>
      <protection/>
    </xf>
    <xf numFmtId="0" fontId="43" fillId="0" borderId="0" xfId="52" applyFont="1" applyAlignment="1">
      <alignment horizontal="center"/>
      <protection/>
    </xf>
    <xf numFmtId="0" fontId="37" fillId="0" borderId="63" xfId="52" applyFont="1" applyBorder="1" applyAlignment="1">
      <alignment horizontal="center"/>
      <protection/>
    </xf>
    <xf numFmtId="0" fontId="37" fillId="0" borderId="56" xfId="52" applyFont="1" applyBorder="1" applyAlignment="1">
      <alignment horizontal="center"/>
      <protection/>
    </xf>
    <xf numFmtId="0" fontId="33" fillId="0" borderId="20" xfId="52" applyFont="1" applyFill="1" applyBorder="1" applyAlignment="1">
      <alignment horizontal="center" vertical="center" wrapText="1"/>
      <protection/>
    </xf>
    <xf numFmtId="0" fontId="33" fillId="0" borderId="44" xfId="52" applyFont="1" applyFill="1" applyBorder="1" applyAlignment="1">
      <alignment horizontal="center" vertical="center" wrapText="1"/>
      <protection/>
    </xf>
    <xf numFmtId="0" fontId="33" fillId="0" borderId="68" xfId="52" applyFont="1" applyFill="1" applyBorder="1" applyAlignment="1">
      <alignment horizontal="center" vertical="center" wrapText="1"/>
      <protection/>
    </xf>
    <xf numFmtId="0" fontId="13" fillId="0" borderId="0" xfId="52" applyFont="1" applyFill="1" applyAlignment="1">
      <alignment horizontal="center"/>
      <protection/>
    </xf>
    <xf numFmtId="0" fontId="13" fillId="0" borderId="0" xfId="52" applyFont="1" applyFill="1" applyAlignment="1">
      <alignment horizontal="center" wrapText="1"/>
      <protection/>
    </xf>
    <xf numFmtId="0" fontId="12" fillId="0" borderId="0" xfId="52" applyFont="1" applyFill="1" applyAlignment="1">
      <alignment horizontal="center" wrapText="1"/>
      <protection/>
    </xf>
    <xf numFmtId="0" fontId="33" fillId="0" borderId="70" xfId="52" applyFont="1" applyFill="1" applyBorder="1" applyAlignment="1">
      <alignment horizontal="center" vertical="center" wrapText="1"/>
      <protection/>
    </xf>
    <xf numFmtId="0" fontId="33" fillId="0" borderId="71" xfId="52" applyFont="1" applyFill="1" applyBorder="1" applyAlignment="1">
      <alignment horizontal="center" vertical="center" wrapText="1"/>
      <protection/>
    </xf>
    <xf numFmtId="0" fontId="37" fillId="0" borderId="51" xfId="52" applyFont="1" applyFill="1" applyBorder="1" applyAlignment="1">
      <alignment horizontal="center" vertical="center" wrapText="1"/>
      <protection/>
    </xf>
    <xf numFmtId="0" fontId="37" fillId="0" borderId="78" xfId="52" applyFont="1" applyFill="1" applyBorder="1" applyAlignment="1">
      <alignment horizontal="center" vertical="center" wrapText="1"/>
      <protection/>
    </xf>
    <xf numFmtId="0" fontId="37" fillId="4" borderId="51" xfId="52" applyFont="1" applyFill="1" applyBorder="1" applyAlignment="1">
      <alignment horizontal="center" vertical="center" wrapText="1"/>
      <protection/>
    </xf>
    <xf numFmtId="0" fontId="37" fillId="4" borderId="78" xfId="52" applyFont="1" applyFill="1" applyBorder="1" applyAlignment="1">
      <alignment horizontal="center" vertical="center" wrapText="1"/>
      <protection/>
    </xf>
    <xf numFmtId="0" fontId="33" fillId="0" borderId="57" xfId="52" applyFont="1" applyFill="1" applyBorder="1" applyAlignment="1">
      <alignment horizontal="center" vertical="center" wrapText="1"/>
      <protection/>
    </xf>
    <xf numFmtId="0" fontId="3" fillId="4" borderId="64" xfId="52" applyFont="1" applyFill="1" applyBorder="1" applyAlignment="1">
      <alignment horizontal="center" vertical="center" wrapText="1"/>
      <protection/>
    </xf>
    <xf numFmtId="0" fontId="3" fillId="4" borderId="87" xfId="52" applyFont="1" applyFill="1" applyBorder="1" applyAlignment="1">
      <alignment horizontal="center" vertical="center" wrapText="1"/>
      <protection/>
    </xf>
    <xf numFmtId="0" fontId="3" fillId="4" borderId="65" xfId="52" applyFont="1" applyFill="1" applyBorder="1" applyAlignment="1">
      <alignment horizontal="center" vertical="center" wrapText="1"/>
      <protection/>
    </xf>
    <xf numFmtId="0" fontId="3" fillId="4" borderId="51" xfId="52" applyFont="1" applyFill="1" applyBorder="1" applyAlignment="1">
      <alignment horizontal="center" vertical="center" wrapText="1"/>
      <protection/>
    </xf>
    <xf numFmtId="0" fontId="3" fillId="4" borderId="52" xfId="52" applyFont="1" applyFill="1" applyBorder="1" applyAlignment="1">
      <alignment horizontal="center" vertical="center" wrapText="1"/>
      <protection/>
    </xf>
    <xf numFmtId="0" fontId="3" fillId="4" borderId="78" xfId="52" applyFont="1" applyFill="1" applyBorder="1" applyAlignment="1">
      <alignment horizontal="center" vertical="center" wrapText="1"/>
      <protection/>
    </xf>
    <xf numFmtId="0" fontId="12" fillId="0" borderId="63" xfId="52" applyFont="1" applyBorder="1" applyAlignment="1">
      <alignment horizontal="center" vertical="center" wrapText="1"/>
      <protection/>
    </xf>
    <xf numFmtId="0" fontId="12" fillId="0" borderId="56" xfId="52" applyFont="1" applyBorder="1" applyAlignment="1">
      <alignment horizontal="center" vertical="center" wrapText="1"/>
      <protection/>
    </xf>
    <xf numFmtId="0" fontId="12" fillId="0" borderId="39" xfId="52" applyFont="1" applyBorder="1" applyAlignment="1">
      <alignment horizontal="center" vertical="center" wrapText="1"/>
      <protection/>
    </xf>
    <xf numFmtId="0" fontId="12" fillId="0" borderId="65" xfId="52" applyFont="1" applyBorder="1" applyAlignment="1">
      <alignment horizontal="center" vertical="center" wrapText="1"/>
      <protection/>
    </xf>
    <xf numFmtId="0" fontId="12" fillId="0" borderId="53" xfId="52" applyFont="1" applyBorder="1" applyAlignment="1">
      <alignment horizontal="center" vertical="center" wrapText="1"/>
      <protection/>
    </xf>
    <xf numFmtId="0" fontId="12" fillId="0" borderId="86" xfId="52" applyFont="1" applyBorder="1" applyAlignment="1">
      <alignment horizontal="center" vertical="center" wrapText="1"/>
      <protection/>
    </xf>
    <xf numFmtId="0" fontId="3" fillId="0" borderId="51" xfId="52" applyFont="1" applyBorder="1" applyAlignment="1">
      <alignment horizontal="center" vertical="center" wrapText="1"/>
      <protection/>
    </xf>
    <xf numFmtId="0" fontId="3" fillId="0" borderId="52" xfId="52" applyFont="1" applyBorder="1" applyAlignment="1">
      <alignment horizontal="center" vertical="center" wrapText="1"/>
      <protection/>
    </xf>
    <xf numFmtId="0" fontId="3" fillId="0" borderId="78" xfId="52" applyFont="1" applyBorder="1" applyAlignment="1">
      <alignment horizontal="center" vertical="center" wrapText="1"/>
      <protection/>
    </xf>
    <xf numFmtId="0" fontId="37" fillId="0" borderId="63" xfId="52" applyFont="1" applyBorder="1" applyAlignment="1">
      <alignment horizontal="center" vertical="center" wrapText="1"/>
      <protection/>
    </xf>
    <xf numFmtId="0" fontId="37" fillId="0" borderId="56" xfId="52" applyFont="1" applyBorder="1" applyAlignment="1">
      <alignment horizontal="center" vertical="center" wrapText="1"/>
      <protection/>
    </xf>
    <xf numFmtId="0" fontId="37" fillId="0" borderId="39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33" fillId="0" borderId="27" xfId="0" applyFont="1" applyBorder="1" applyAlignment="1">
      <alignment horizontal="center"/>
    </xf>
    <xf numFmtId="0" fontId="33" fillId="0" borderId="77" xfId="0" applyFont="1" applyBorder="1" applyAlignment="1">
      <alignment horizontal="center"/>
    </xf>
    <xf numFmtId="1" fontId="33" fillId="0" borderId="27" xfId="0" applyNumberFormat="1" applyFont="1" applyBorder="1" applyAlignment="1">
      <alignment horizontal="center"/>
    </xf>
    <xf numFmtId="1" fontId="33" fillId="0" borderId="77" xfId="0" applyNumberFormat="1" applyFont="1" applyBorder="1" applyAlignment="1">
      <alignment horizontal="center"/>
    </xf>
    <xf numFmtId="1" fontId="37" fillId="4" borderId="38" xfId="0" applyNumberFormat="1" applyFont="1" applyFill="1" applyBorder="1" applyAlignment="1">
      <alignment horizontal="center"/>
    </xf>
    <xf numFmtId="1" fontId="37" fillId="4" borderId="39" xfId="0" applyNumberFormat="1" applyFont="1" applyFill="1" applyBorder="1" applyAlignment="1">
      <alignment horizontal="center"/>
    </xf>
    <xf numFmtId="1" fontId="33" fillId="0" borderId="74" xfId="0" applyNumberFormat="1" applyFont="1" applyBorder="1" applyAlignment="1">
      <alignment horizontal="center"/>
    </xf>
    <xf numFmtId="1" fontId="33" fillId="0" borderId="76" xfId="0" applyNumberFormat="1" applyFont="1" applyBorder="1" applyAlignment="1">
      <alignment horizontal="center"/>
    </xf>
    <xf numFmtId="165" fontId="33" fillId="0" borderId="74" xfId="0" applyNumberFormat="1" applyFont="1" applyBorder="1" applyAlignment="1">
      <alignment horizontal="center"/>
    </xf>
    <xf numFmtId="165" fontId="33" fillId="0" borderId="76" xfId="0" applyNumberFormat="1" applyFont="1" applyBorder="1" applyAlignment="1">
      <alignment horizontal="center"/>
    </xf>
    <xf numFmtId="165" fontId="37" fillId="4" borderId="38" xfId="0" applyNumberFormat="1" applyFont="1" applyFill="1" applyBorder="1" applyAlignment="1">
      <alignment horizontal="center"/>
    </xf>
    <xf numFmtId="165" fontId="37" fillId="4" borderId="39" xfId="0" applyNumberFormat="1" applyFont="1" applyFill="1" applyBorder="1" applyAlignment="1">
      <alignment horizontal="center"/>
    </xf>
    <xf numFmtId="0" fontId="33" fillId="0" borderId="51" xfId="52" applyFont="1" applyBorder="1" applyAlignment="1">
      <alignment horizontal="center" vertical="center" wrapText="1"/>
      <protection/>
    </xf>
    <xf numFmtId="0" fontId="33" fillId="0" borderId="78" xfId="52" applyFont="1" applyBorder="1" applyAlignment="1">
      <alignment horizontal="center" vertical="center" wrapText="1"/>
      <protection/>
    </xf>
    <xf numFmtId="0" fontId="37" fillId="4" borderId="63" xfId="52" applyFont="1" applyFill="1" applyBorder="1" applyAlignment="1">
      <alignment horizontal="center" vertical="center" wrapText="1"/>
      <protection/>
    </xf>
    <xf numFmtId="0" fontId="37" fillId="4" borderId="56" xfId="52" applyFont="1" applyFill="1" applyBorder="1" applyAlignment="1">
      <alignment horizontal="center" vertical="center" wrapText="1"/>
      <protection/>
    </xf>
    <xf numFmtId="0" fontId="37" fillId="4" borderId="39" xfId="52" applyFont="1" applyFill="1" applyBorder="1" applyAlignment="1">
      <alignment horizontal="center" vertical="center" wrapText="1"/>
      <protection/>
    </xf>
    <xf numFmtId="0" fontId="33" fillId="0" borderId="68" xfId="52" applyFont="1" applyBorder="1" applyAlignment="1">
      <alignment horizontal="center" vertical="center" wrapText="1"/>
      <protection/>
    </xf>
    <xf numFmtId="0" fontId="33" fillId="0" borderId="86" xfId="52" applyFont="1" applyBorder="1" applyAlignment="1">
      <alignment horizontal="center" vertical="center" wrapText="1"/>
      <protection/>
    </xf>
    <xf numFmtId="0" fontId="33" fillId="0" borderId="57" xfId="0" applyFont="1" applyBorder="1" applyAlignment="1">
      <alignment horizontal="center"/>
    </xf>
    <xf numFmtId="0" fontId="33" fillId="0" borderId="82" xfId="0" applyFont="1" applyBorder="1" applyAlignment="1">
      <alignment horizontal="center"/>
    </xf>
    <xf numFmtId="0" fontId="33" fillId="0" borderId="71" xfId="52" applyFont="1" applyBorder="1" applyAlignment="1">
      <alignment horizontal="center" vertical="top" wrapText="1"/>
      <protection/>
    </xf>
    <xf numFmtId="0" fontId="33" fillId="0" borderId="20" xfId="52" applyFont="1" applyBorder="1" applyAlignment="1">
      <alignment horizontal="center" vertical="top" wrapText="1"/>
      <protection/>
    </xf>
    <xf numFmtId="0" fontId="33" fillId="0" borderId="21" xfId="52" applyFont="1" applyBorder="1" applyAlignment="1">
      <alignment horizontal="center" vertical="top" wrapText="1"/>
      <protection/>
    </xf>
    <xf numFmtId="0" fontId="114" fillId="4" borderId="63" xfId="0" applyFont="1" applyFill="1" applyBorder="1" applyAlignment="1">
      <alignment horizontal="center" vertical="center" wrapText="1"/>
    </xf>
    <xf numFmtId="0" fontId="114" fillId="4" borderId="56" xfId="0" applyFont="1" applyFill="1" applyBorder="1" applyAlignment="1">
      <alignment horizontal="center" vertical="center" wrapText="1"/>
    </xf>
    <xf numFmtId="0" fontId="114" fillId="4" borderId="39" xfId="0" applyFont="1" applyFill="1" applyBorder="1" applyAlignment="1">
      <alignment horizontal="center" vertical="center" wrapText="1"/>
    </xf>
    <xf numFmtId="0" fontId="33" fillId="0" borderId="51" xfId="52" applyFont="1" applyBorder="1" applyAlignment="1">
      <alignment horizontal="center" vertical="top" wrapText="1"/>
      <protection/>
    </xf>
    <xf numFmtId="0" fontId="33" fillId="0" borderId="52" xfId="52" applyFont="1" applyBorder="1" applyAlignment="1">
      <alignment horizontal="center" vertical="top" wrapText="1"/>
      <protection/>
    </xf>
    <xf numFmtId="0" fontId="114" fillId="0" borderId="0" xfId="0" applyFont="1" applyAlignment="1">
      <alignment horizontal="center" wrapText="1"/>
    </xf>
    <xf numFmtId="0" fontId="117" fillId="0" borderId="17" xfId="0" applyFont="1" applyBorder="1" applyAlignment="1">
      <alignment horizontal="center"/>
    </xf>
    <xf numFmtId="0" fontId="117" fillId="0" borderId="22" xfId="0" applyFont="1" applyBorder="1" applyAlignment="1">
      <alignment horizontal="center"/>
    </xf>
    <xf numFmtId="0" fontId="118" fillId="4" borderId="63" xfId="0" applyFont="1" applyFill="1" applyBorder="1" applyAlignment="1">
      <alignment horizontal="left"/>
    </xf>
    <xf numFmtId="0" fontId="118" fillId="4" borderId="55" xfId="0" applyFont="1" applyFill="1" applyBorder="1" applyAlignment="1">
      <alignment horizontal="left"/>
    </xf>
    <xf numFmtId="0" fontId="117" fillId="0" borderId="61" xfId="0" applyFont="1" applyBorder="1" applyAlignment="1">
      <alignment horizontal="left"/>
    </xf>
    <xf numFmtId="0" fontId="117" fillId="0" borderId="18" xfId="0" applyFont="1" applyBorder="1" applyAlignment="1">
      <alignment horizontal="left"/>
    </xf>
    <xf numFmtId="0" fontId="117" fillId="0" borderId="34" xfId="0" applyFont="1" applyBorder="1" applyAlignment="1">
      <alignment horizontal="left"/>
    </xf>
    <xf numFmtId="0" fontId="117" fillId="0" borderId="35" xfId="0" applyFont="1" applyBorder="1" applyAlignment="1">
      <alignment horizontal="left"/>
    </xf>
    <xf numFmtId="0" fontId="117" fillId="0" borderId="13" xfId="0" applyFont="1" applyBorder="1" applyAlignment="1">
      <alignment/>
    </xf>
    <xf numFmtId="0" fontId="117" fillId="0" borderId="10" xfId="0" applyFont="1" applyBorder="1" applyAlignment="1">
      <alignment/>
    </xf>
    <xf numFmtId="0" fontId="37" fillId="37" borderId="63" xfId="0" applyFont="1" applyFill="1" applyBorder="1" applyAlignment="1">
      <alignment horizontal="left"/>
    </xf>
    <xf numFmtId="0" fontId="37" fillId="37" borderId="55" xfId="0" applyFont="1" applyFill="1" applyBorder="1" applyAlignment="1">
      <alignment horizontal="left"/>
    </xf>
    <xf numFmtId="0" fontId="117" fillId="0" borderId="59" xfId="0" applyFont="1" applyBorder="1" applyAlignment="1">
      <alignment horizontal="left"/>
    </xf>
    <xf numFmtId="0" fontId="117" fillId="0" borderId="45" xfId="0" applyFont="1" applyBorder="1" applyAlignment="1">
      <alignment horizontal="left"/>
    </xf>
    <xf numFmtId="0" fontId="118" fillId="0" borderId="61" xfId="0" applyFont="1" applyBorder="1" applyAlignment="1">
      <alignment horizontal="left"/>
    </xf>
    <xf numFmtId="0" fontId="118" fillId="0" borderId="18" xfId="0" applyFont="1" applyBorder="1" applyAlignment="1">
      <alignment horizontal="left"/>
    </xf>
    <xf numFmtId="0" fontId="117" fillId="0" borderId="62" xfId="0" applyFont="1" applyBorder="1" applyAlignment="1">
      <alignment horizontal="left"/>
    </xf>
    <xf numFmtId="0" fontId="117" fillId="0" borderId="28" xfId="0" applyFont="1" applyBorder="1" applyAlignment="1">
      <alignment horizontal="left"/>
    </xf>
    <xf numFmtId="0" fontId="118" fillId="37" borderId="63" xfId="0" applyFont="1" applyFill="1" applyBorder="1" applyAlignment="1">
      <alignment horizontal="left"/>
    </xf>
    <xf numFmtId="0" fontId="118" fillId="37" borderId="55" xfId="0" applyFont="1" applyFill="1" applyBorder="1" applyAlignment="1">
      <alignment horizontal="left"/>
    </xf>
    <xf numFmtId="0" fontId="117" fillId="0" borderId="36" xfId="0" applyFont="1" applyBorder="1" applyAlignment="1">
      <alignment horizontal="left"/>
    </xf>
    <xf numFmtId="0" fontId="117" fillId="0" borderId="37" xfId="0" applyFont="1" applyBorder="1" applyAlignment="1">
      <alignment horizontal="left"/>
    </xf>
    <xf numFmtId="0" fontId="117" fillId="0" borderId="75" xfId="0" applyFont="1" applyBorder="1" applyAlignment="1">
      <alignment horizontal="left"/>
    </xf>
    <xf numFmtId="0" fontId="117" fillId="0" borderId="29" xfId="0" applyFont="1" applyBorder="1" applyAlignment="1">
      <alignment horizontal="left"/>
    </xf>
    <xf numFmtId="0" fontId="118" fillId="0" borderId="75" xfId="0" applyFont="1" applyBorder="1" applyAlignment="1">
      <alignment horizontal="center" wrapText="1"/>
    </xf>
    <xf numFmtId="0" fontId="118" fillId="0" borderId="50" xfId="0" applyFont="1" applyBorder="1" applyAlignment="1">
      <alignment horizontal="center" wrapText="1"/>
    </xf>
    <xf numFmtId="0" fontId="118" fillId="0" borderId="76" xfId="0" applyFont="1" applyBorder="1" applyAlignment="1">
      <alignment horizontal="center" wrapText="1"/>
    </xf>
    <xf numFmtId="0" fontId="114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115" fillId="0" borderId="0" xfId="0" applyFont="1" applyAlignment="1">
      <alignment horizontal="center"/>
    </xf>
    <xf numFmtId="0" fontId="53" fillId="0" borderId="11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0" fillId="0" borderId="0" xfId="0" applyAlignment="1">
      <alignment vertical="top"/>
    </xf>
    <xf numFmtId="0" fontId="34" fillId="0" borderId="0" xfId="0" applyFont="1" applyFill="1" applyAlignment="1">
      <alignment horizontal="center" vertical="center" wrapText="1"/>
    </xf>
    <xf numFmtId="0" fontId="27" fillId="0" borderId="0" xfId="53" applyFont="1" applyAlignment="1">
      <alignment horizontal="center" wrapText="1"/>
      <protection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Книга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171450</xdr:colOff>
      <xdr:row>16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53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171450</xdr:colOff>
      <xdr:row>16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53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6;\&#1044;&#1086;&#1090;&#1072;&#1094;.%20&#1085;&#1072;%20&#1074;&#1099;&#1088;&#1072;&#1074;&#1085;&#1080;&#1074;&#1072;&#1085;&#1080;&#1077;%20&#1052;&#1056;-&#1074;&#1090;&#1086;&#1088;&#1086;&#1077;%20&#1095;&#1090;&#1077;&#1085;&#1080;&#1077;.xls-&#1080;&#1089;&#1087;&#1088;.%20&#1074;&#1072;&#1088;&#1080;&#1072;&#1085;&#1090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ina\Documents\&#1044;&#1086;&#1082;&#1091;&#1084;&#1077;&#1085;&#1090;&#1099;%201\&#1041;&#1102;&#1076;&#1078;&#1077;&#1090;\&#1041;&#1070;&#1044;&#1046;&#1045;&#1058;%202015-2017\&#1056;&#1040;&#1057;&#1063;&#1045;&#1058;%20&#1060;&#1048;&#1053;&#1055;&#1054;&#1052;&#1054;&#1065;&#1048;\&#1056;&#1040;&#1057;&#1063;&#1045;&#1058;%2027.12.2014\&#1044;&#1086;&#1090;&#1072;&#1094;&#1080;&#1080;%20&#1080;%20&#1057;&#1091;&#1073;&#1089;&#1080;&#1076;&#1080;&#1080;%20&#1085;&#1072;%20&#1056;&#1060;&#1060;&#1055;%202015-2017.xls-&#1074;&#1090;&#1086;&#1088;&#1086;&#1077;%20&#1095;&#1090;&#1077;&#1085;&#1080;&#1077;-%20&#1089;%20&#1076;&#1086;&#1088;&#1072;&#1073;&#1086;&#1090;&#1082;&#1086;&#1081;%2027.12.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ina\Documents\&#1044;&#1086;&#1082;&#1091;&#1084;&#1077;&#1085;&#1090;&#1099;%201\&#1041;&#1102;&#1076;&#1078;&#1077;&#1090;\&#1041;&#1070;&#1044;&#1046;&#1045;&#1058;%202015-2017\&#1056;&#1040;&#1057;&#1063;&#1045;&#1058;%20&#1060;&#1048;&#1053;&#1055;&#1054;&#1052;&#1054;&#1065;&#1048;\&#1056;&#1040;&#1057;&#1063;&#1045;&#1058;%2027.12.2014\&#1044;&#1086;&#1090;&#1072;&#1094;.%20&#1085;&#1072;%20&#1074;&#1099;&#1088;&#1072;&#1074;&#1085;&#1080;&#1074;&#1072;&#1085;&#1080;&#1077;%20&#1052;&#1056;-&#1074;&#1090;&#1086;&#1088;&#1086;&#1077;%20&#1095;&#1090;&#1077;&#1085;&#1080;&#1077;.xls-&#1089;%20&#1076;&#1086;&#1088;&#1072;&#1073;&#1086;&#1090;&#1082;&#1086;&#1081;%2027.12.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ina\Documents\&#1044;&#1086;&#1082;&#1091;&#1084;&#1077;&#1085;&#1090;&#1099;%201\&#1041;&#1102;&#1076;&#1078;&#1077;&#1090;\&#1041;&#1070;&#1044;&#1046;&#1045;&#1058;%202015-2017\&#1056;&#1040;&#1057;&#1063;&#1045;&#1058;%20&#1060;&#1048;&#1053;&#1055;&#1054;&#1052;&#1054;&#1065;&#1048;\&#1056;&#1040;&#1057;&#1063;&#1045;&#1058;%2027.12.2014\&#1044;&#1086;&#1090;&#1072;&#1094;.%20&#1085;&#1072;%20&#1074;&#1099;&#1088;&#1072;&#1074;&#1085;&#1080;&#1074;&#1072;&#1085;&#1080;&#1077;%20&#1052;&#1056;-&#1074;&#1090;&#1086;&#1088;&#1086;&#1077;%20&#1095;&#1090;&#1077;&#1085;&#1080;&#1077;.xls-&#1089;%20&#1076;&#1086;&#1088;&#1072;&#1073;&#1086;&#1090;&#1082;&#1086;&#1081;%2007.12.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ina\Documents\&#1044;&#1086;&#1082;&#1091;&#1084;&#1077;&#1085;&#1090;&#1099;%201\&#1041;&#1102;&#1076;&#1078;&#1077;&#1090;\&#1041;&#1070;&#1044;&#1046;&#1045;&#1058;%202015-2017\&#1056;&#1040;&#1057;&#1063;&#1045;&#1058;%20&#1060;&#1048;&#1053;&#1055;&#1054;&#1052;&#1054;&#1065;&#1048;\&#1056;&#1040;&#1057;&#1063;&#1045;&#1058;%2027.12.2014\&#1057;&#1091;&#1073;&#1089;&#1080;&#1076;&#1080;&#1080;%20&#1085;&#1072;%20%20&#1082;&#1086;&#1084;&#1084;&#1091;&#1085;&#1072;&#1083;&#1100;&#1085;&#1099;&#1077;%20&#1091;&#1089;&#1083;&#1091;&#1075;&#1080;%20&#1080;%20&#1079;&#1072;&#1088;&#1087;&#1083;&#1072;&#1090;&#1091;%20-%20&#1074;&#1090;&#1086;&#1088;&#1086;&#1077;%20&#1095;&#1090;&#1077;&#1085;&#1080;&#1077;.xls-%2027.12.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ina\AppData\Local\Microsoft\Windows\Temporary%20Internet%20Files\Content.Outlook\53Y2FLGW\!%20&#1056;&#1072;&#1089;&#1095;&#1077;&#1090;%20&#1048;&#1053;&#1055;%20&#1085;&#1072;%202015%20&#1075;&#1086;&#1076;-&#1074;&#1090;&#1086;&#1088;&#1086;&#1077;%20&#1095;&#1090;&#1077;&#1085;&#1080;&#1077;%2016%2012%202014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12.2014"/>
    </sheetNames>
    <sheetDataSet>
      <sheetData sheetId="0">
        <row r="5">
          <cell r="O5">
            <v>1652289.8</v>
          </cell>
        </row>
        <row r="6">
          <cell r="O6">
            <v>341540.2</v>
          </cell>
        </row>
        <row r="7">
          <cell r="O7">
            <v>308461.2</v>
          </cell>
        </row>
        <row r="8">
          <cell r="O8">
            <v>285965.3</v>
          </cell>
        </row>
        <row r="9">
          <cell r="O9">
            <v>214249.2</v>
          </cell>
        </row>
        <row r="10">
          <cell r="O10">
            <v>341640.1</v>
          </cell>
        </row>
        <row r="11">
          <cell r="O11">
            <v>209050.9</v>
          </cell>
        </row>
        <row r="12">
          <cell r="O12">
            <v>292096.7</v>
          </cell>
        </row>
        <row r="13">
          <cell r="O13">
            <v>547504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.данные"/>
      <sheetName val="Дотации РФФП"/>
      <sheetName val="субсидии на формирование РФФП"/>
    </sheetNames>
    <sheetDataSet>
      <sheetData sheetId="1">
        <row r="6">
          <cell r="E6">
            <v>67395</v>
          </cell>
        </row>
        <row r="7">
          <cell r="F7">
            <v>6710</v>
          </cell>
        </row>
        <row r="17">
          <cell r="F17">
            <v>3584</v>
          </cell>
        </row>
        <row r="20">
          <cell r="F20">
            <v>1486</v>
          </cell>
        </row>
        <row r="26">
          <cell r="I26">
            <v>1801</v>
          </cell>
        </row>
        <row r="31">
          <cell r="F31">
            <v>5265</v>
          </cell>
        </row>
        <row r="36">
          <cell r="F36">
            <v>3136</v>
          </cell>
        </row>
        <row r="41">
          <cell r="F41">
            <v>4823</v>
          </cell>
        </row>
        <row r="47">
          <cell r="F47">
            <v>5800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6.12.2014"/>
    </sheetNames>
    <sheetDataSet>
      <sheetData sheetId="0">
        <row r="5">
          <cell r="F5">
            <v>1211995</v>
          </cell>
          <cell r="M5">
            <v>194815</v>
          </cell>
          <cell r="R5">
            <v>1406810</v>
          </cell>
        </row>
        <row r="6">
          <cell r="F6">
            <v>76884</v>
          </cell>
          <cell r="M6">
            <v>145318</v>
          </cell>
          <cell r="R6">
            <v>222202</v>
          </cell>
        </row>
        <row r="7">
          <cell r="F7">
            <v>146828</v>
          </cell>
          <cell r="M7">
            <v>60736</v>
          </cell>
          <cell r="R7">
            <v>207564</v>
          </cell>
        </row>
        <row r="8">
          <cell r="F8">
            <v>61778</v>
          </cell>
          <cell r="M8">
            <v>72694</v>
          </cell>
          <cell r="R8">
            <v>134472</v>
          </cell>
        </row>
        <row r="9">
          <cell r="F9">
            <v>52794</v>
          </cell>
          <cell r="M9">
            <v>37011</v>
          </cell>
          <cell r="R9">
            <v>89805</v>
          </cell>
        </row>
        <row r="10">
          <cell r="F10">
            <v>134104</v>
          </cell>
          <cell r="M10">
            <v>75335</v>
          </cell>
          <cell r="R10">
            <v>209439</v>
          </cell>
        </row>
        <row r="11">
          <cell r="F11">
            <v>170070</v>
          </cell>
          <cell r="M11">
            <v>44975</v>
          </cell>
          <cell r="R11">
            <v>215045</v>
          </cell>
        </row>
        <row r="12">
          <cell r="F12">
            <v>56803</v>
          </cell>
          <cell r="M12">
            <v>117902</v>
          </cell>
          <cell r="R12">
            <v>174705</v>
          </cell>
        </row>
        <row r="13">
          <cell r="F13">
            <v>126241</v>
          </cell>
          <cell r="M13">
            <v>96714</v>
          </cell>
          <cell r="R13">
            <v>222955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6.12.2014"/>
    </sheetNames>
    <sheetDataSet>
      <sheetData sheetId="0">
        <row r="5">
          <cell r="O5">
            <v>1652289.8</v>
          </cell>
        </row>
        <row r="6">
          <cell r="O6">
            <v>341540.2</v>
          </cell>
        </row>
        <row r="7">
          <cell r="O7">
            <v>308461.2</v>
          </cell>
        </row>
        <row r="8">
          <cell r="O8">
            <v>285965.3</v>
          </cell>
        </row>
        <row r="9">
          <cell r="O9">
            <v>214249.2</v>
          </cell>
        </row>
        <row r="10">
          <cell r="O10">
            <v>341640.1</v>
          </cell>
        </row>
        <row r="11">
          <cell r="O11">
            <v>209050.9</v>
          </cell>
        </row>
        <row r="12">
          <cell r="O12">
            <v>292096.7</v>
          </cell>
        </row>
        <row r="13">
          <cell r="O13">
            <v>547504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соцсферы"/>
      <sheetName val="Расчет"/>
    </sheetNames>
    <sheetDataSet>
      <sheetData sheetId="0">
        <row r="6">
          <cell r="C6">
            <v>1023565</v>
          </cell>
          <cell r="D6">
            <v>306504</v>
          </cell>
          <cell r="E6">
            <v>282478</v>
          </cell>
        </row>
        <row r="8">
          <cell r="C8">
            <v>143850</v>
          </cell>
          <cell r="D8">
            <v>43092</v>
          </cell>
          <cell r="E8">
            <v>54929</v>
          </cell>
        </row>
        <row r="9">
          <cell r="C9">
            <v>200436.8</v>
          </cell>
          <cell r="D9">
            <v>60487.1</v>
          </cell>
          <cell r="E9">
            <v>26407</v>
          </cell>
        </row>
        <row r="10">
          <cell r="C10">
            <v>120779</v>
          </cell>
          <cell r="D10">
            <v>36099</v>
          </cell>
          <cell r="E10">
            <v>19191.6</v>
          </cell>
        </row>
        <row r="11">
          <cell r="C11">
            <v>100686.1</v>
          </cell>
          <cell r="D11">
            <v>30009</v>
          </cell>
          <cell r="E11">
            <v>18499</v>
          </cell>
        </row>
        <row r="12">
          <cell r="C12">
            <v>167822</v>
          </cell>
          <cell r="D12">
            <v>49983</v>
          </cell>
          <cell r="E12">
            <v>25813.4</v>
          </cell>
        </row>
        <row r="13">
          <cell r="C13">
            <v>95423</v>
          </cell>
          <cell r="D13">
            <v>28460</v>
          </cell>
          <cell r="E13">
            <v>29754.7</v>
          </cell>
        </row>
        <row r="14">
          <cell r="C14">
            <v>124202</v>
          </cell>
          <cell r="D14">
            <v>37027</v>
          </cell>
          <cell r="E14">
            <v>52219.9</v>
          </cell>
        </row>
        <row r="15">
          <cell r="C15">
            <v>206031</v>
          </cell>
          <cell r="D15">
            <v>61516</v>
          </cell>
          <cell r="E15">
            <v>50616.2</v>
          </cell>
        </row>
      </sheetData>
      <sheetData sheetId="1">
        <row r="6">
          <cell r="L6">
            <v>0</v>
          </cell>
        </row>
        <row r="7">
          <cell r="L7">
            <v>36964</v>
          </cell>
        </row>
        <row r="8">
          <cell r="L8">
            <v>26501</v>
          </cell>
        </row>
        <row r="9">
          <cell r="L9">
            <v>82522</v>
          </cell>
        </row>
        <row r="10">
          <cell r="L10">
            <v>72770</v>
          </cell>
        </row>
        <row r="11">
          <cell r="L11">
            <v>49802</v>
          </cell>
        </row>
        <row r="13">
          <cell r="L13">
            <v>46942</v>
          </cell>
        </row>
        <row r="14">
          <cell r="L14">
            <v>192499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П"/>
      <sheetName val="НДФЛ"/>
      <sheetName val="ЕНВД"/>
      <sheetName val="Числ на 01.01.2014"/>
    </sheetNames>
    <sheetDataSet>
      <sheetData sheetId="1">
        <row r="8">
          <cell r="B8">
            <v>0.9395861771626365</v>
          </cell>
        </row>
        <row r="9">
          <cell r="B9">
            <v>0.37053452666156833</v>
          </cell>
        </row>
        <row r="10">
          <cell r="B10">
            <v>1.9384412660862196</v>
          </cell>
        </row>
        <row r="11">
          <cell r="B11">
            <v>1.7446529290594612</v>
          </cell>
        </row>
        <row r="12">
          <cell r="B12">
            <v>1.1533253998237276</v>
          </cell>
        </row>
        <row r="13">
          <cell r="B13">
            <v>1.0461638705124032</v>
          </cell>
        </row>
        <row r="14">
          <cell r="B14">
            <v>2.4895915613452337</v>
          </cell>
        </row>
        <row r="15">
          <cell r="B15">
            <v>0.599890679086369</v>
          </cell>
        </row>
        <row r="16">
          <cell r="B16">
            <v>1.090158789155395</v>
          </cell>
        </row>
      </sheetData>
      <sheetData sheetId="2">
        <row r="8">
          <cell r="B8">
            <v>1.1453295155128997</v>
          </cell>
        </row>
        <row r="9">
          <cell r="B9">
            <v>0.5776449719064304</v>
          </cell>
        </row>
        <row r="10">
          <cell r="B10">
            <v>1.1069647538262288</v>
          </cell>
        </row>
        <row r="11">
          <cell r="B11">
            <v>0.22962817882322137</v>
          </cell>
        </row>
        <row r="12">
          <cell r="B12">
            <v>0.6916645158855996</v>
          </cell>
        </row>
        <row r="13">
          <cell r="B13">
            <v>0.9228221846830557</v>
          </cell>
        </row>
        <row r="14">
          <cell r="B14">
            <v>0.5182460869325486</v>
          </cell>
        </row>
        <row r="15">
          <cell r="B15">
            <v>0.7350297085123575</v>
          </cell>
        </row>
        <row r="16">
          <cell r="B16">
            <v>0.5902960554478391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SheetLayoutView="80" zoomScalePageLayoutView="0" workbookViewId="0" topLeftCell="A1">
      <pane ySplit="3" topLeftCell="A10" activePane="bottomLeft" state="frozen"/>
      <selection pane="topLeft" activeCell="A1" sqref="A1"/>
      <selection pane="bottomLeft" activeCell="C16" sqref="C16"/>
    </sheetView>
  </sheetViews>
  <sheetFormatPr defaultColWidth="9.00390625" defaultRowHeight="12.75"/>
  <cols>
    <col min="1" max="1" width="42.125" style="71" customWidth="1"/>
    <col min="2" max="2" width="26.375" style="73" hidden="1" customWidth="1"/>
    <col min="3" max="3" width="13.625" style="71" customWidth="1"/>
    <col min="4" max="4" width="10.375" style="71" customWidth="1"/>
    <col min="5" max="5" width="12.00390625" style="71" customWidth="1"/>
    <col min="6" max="6" width="11.125" style="71" customWidth="1"/>
    <col min="7" max="7" width="13.625" style="71" customWidth="1"/>
    <col min="8" max="8" width="12.375" style="71" customWidth="1"/>
    <col min="9" max="9" width="11.375" style="71" customWidth="1"/>
    <col min="10" max="10" width="10.375" style="71" customWidth="1"/>
    <col min="11" max="11" width="11.375" style="71" bestFit="1" customWidth="1"/>
    <col min="12" max="12" width="11.00390625" style="71" customWidth="1"/>
    <col min="13" max="13" width="29.00390625" style="72" hidden="1" customWidth="1"/>
    <col min="14" max="14" width="9.375" style="71" bestFit="1" customWidth="1"/>
    <col min="15" max="16384" width="9.125" style="71" customWidth="1"/>
  </cols>
  <sheetData>
    <row r="1" spans="1:13" ht="96.75" customHeight="1">
      <c r="A1" s="1290" t="s">
        <v>166</v>
      </c>
      <c r="B1" s="1290"/>
      <c r="C1" s="1290"/>
      <c r="D1" s="1290"/>
      <c r="E1" s="1290"/>
      <c r="F1" s="1290"/>
      <c r="G1" s="1290"/>
      <c r="H1" s="1290"/>
      <c r="I1" s="1290"/>
      <c r="J1" s="1290"/>
      <c r="K1" s="1290"/>
      <c r="L1" s="1290"/>
      <c r="M1" s="1290"/>
    </row>
    <row r="2" ht="12">
      <c r="L2" s="36" t="s">
        <v>4</v>
      </c>
    </row>
    <row r="3" spans="1:13" ht="24">
      <c r="A3" s="93" t="s">
        <v>5</v>
      </c>
      <c r="B3" s="93"/>
      <c r="C3" s="93" t="s">
        <v>2</v>
      </c>
      <c r="D3" s="92" t="s">
        <v>56</v>
      </c>
      <c r="E3" s="92" t="s">
        <v>0</v>
      </c>
      <c r="F3" s="92" t="s">
        <v>492</v>
      </c>
      <c r="G3" s="92" t="s">
        <v>1</v>
      </c>
      <c r="H3" s="92" t="s">
        <v>3</v>
      </c>
      <c r="I3" s="92" t="s">
        <v>57</v>
      </c>
      <c r="J3" s="92" t="s">
        <v>58</v>
      </c>
      <c r="K3" s="92" t="s">
        <v>59</v>
      </c>
      <c r="L3" s="92" t="s">
        <v>33</v>
      </c>
      <c r="M3" s="85" t="s">
        <v>6</v>
      </c>
    </row>
    <row r="4" spans="1:13" ht="42.75" customHeight="1">
      <c r="A4" s="713" t="s">
        <v>493</v>
      </c>
      <c r="B4" s="91"/>
      <c r="C4" s="83">
        <f>SUM(D4:L4)</f>
        <v>10</v>
      </c>
      <c r="D4" s="83">
        <v>2</v>
      </c>
      <c r="E4" s="83">
        <v>1</v>
      </c>
      <c r="F4" s="83">
        <v>1</v>
      </c>
      <c r="G4" s="83">
        <v>1</v>
      </c>
      <c r="H4" s="83">
        <v>1</v>
      </c>
      <c r="I4" s="83">
        <v>1</v>
      </c>
      <c r="J4" s="83">
        <v>1</v>
      </c>
      <c r="K4" s="83">
        <v>1</v>
      </c>
      <c r="L4" s="83">
        <v>1</v>
      </c>
      <c r="M4" s="88"/>
    </row>
    <row r="5" spans="1:13" ht="53.25" customHeight="1">
      <c r="A5" s="87" t="s">
        <v>494</v>
      </c>
      <c r="B5" s="86"/>
      <c r="C5" s="83">
        <v>0</v>
      </c>
      <c r="D5" s="90">
        <v>5.321</v>
      </c>
      <c r="E5" s="90">
        <v>5.321</v>
      </c>
      <c r="F5" s="90">
        <v>5.321</v>
      </c>
      <c r="G5" s="90">
        <v>5.321</v>
      </c>
      <c r="H5" s="90">
        <v>5.321</v>
      </c>
      <c r="I5" s="90">
        <v>5.321</v>
      </c>
      <c r="J5" s="90">
        <v>5.321</v>
      </c>
      <c r="K5" s="90">
        <v>5.321</v>
      </c>
      <c r="L5" s="90">
        <v>5.321</v>
      </c>
      <c r="M5" s="88"/>
    </row>
    <row r="6" spans="1:13" ht="75.75" customHeight="1">
      <c r="A6" s="87" t="s">
        <v>495</v>
      </c>
      <c r="B6" s="86"/>
      <c r="C6" s="83">
        <v>0</v>
      </c>
      <c r="D6" s="90">
        <v>56</v>
      </c>
      <c r="E6" s="90">
        <v>56</v>
      </c>
      <c r="F6" s="90">
        <v>56</v>
      </c>
      <c r="G6" s="90">
        <v>56</v>
      </c>
      <c r="H6" s="90">
        <v>56</v>
      </c>
      <c r="I6" s="90">
        <v>56</v>
      </c>
      <c r="J6" s="90">
        <v>56</v>
      </c>
      <c r="K6" s="90">
        <v>56</v>
      </c>
      <c r="L6" s="90">
        <v>56</v>
      </c>
      <c r="M6" s="88"/>
    </row>
    <row r="7" spans="1:13" ht="60.75" customHeight="1">
      <c r="A7" s="87" t="s">
        <v>496</v>
      </c>
      <c r="B7" s="86"/>
      <c r="C7" s="83">
        <v>0</v>
      </c>
      <c r="D7" s="90">
        <v>2.5</v>
      </c>
      <c r="E7" s="90">
        <v>2.5</v>
      </c>
      <c r="F7" s="90">
        <v>2.5</v>
      </c>
      <c r="G7" s="90">
        <v>2.7</v>
      </c>
      <c r="H7" s="90">
        <v>2.5</v>
      </c>
      <c r="I7" s="90">
        <v>2.5</v>
      </c>
      <c r="J7" s="90">
        <v>2.5</v>
      </c>
      <c r="K7" s="90">
        <v>2.5</v>
      </c>
      <c r="L7" s="90">
        <v>2.5</v>
      </c>
      <c r="M7" s="89">
        <v>1.192</v>
      </c>
    </row>
    <row r="8" spans="1:13" ht="81.75" customHeight="1">
      <c r="A8" s="87" t="s">
        <v>497</v>
      </c>
      <c r="B8" s="86"/>
      <c r="C8" s="83"/>
      <c r="D8" s="90">
        <v>0.302</v>
      </c>
      <c r="E8" s="90">
        <v>0.302</v>
      </c>
      <c r="F8" s="90">
        <v>0.302</v>
      </c>
      <c r="G8" s="90">
        <v>0.302</v>
      </c>
      <c r="H8" s="90">
        <v>0.302</v>
      </c>
      <c r="I8" s="90">
        <v>0.302</v>
      </c>
      <c r="J8" s="90">
        <v>0.302</v>
      </c>
      <c r="K8" s="90">
        <v>0.302</v>
      </c>
      <c r="L8" s="90">
        <v>0.302</v>
      </c>
      <c r="M8" s="88"/>
    </row>
    <row r="9" spans="1:14" ht="45" customHeight="1">
      <c r="A9" s="30" t="s">
        <v>52</v>
      </c>
      <c r="B9" s="76"/>
      <c r="C9" s="83">
        <f aca="true" t="shared" si="0" ref="C9:C14">SUM(D9:L9)</f>
        <v>207.3</v>
      </c>
      <c r="D9" s="77">
        <v>25.9</v>
      </c>
      <c r="E9" s="77">
        <v>25.9</v>
      </c>
      <c r="F9" s="77">
        <v>25.9</v>
      </c>
      <c r="G9" s="77">
        <v>13</v>
      </c>
      <c r="H9" s="77">
        <v>13</v>
      </c>
      <c r="I9" s="77">
        <v>25.9</v>
      </c>
      <c r="J9" s="77">
        <v>25.9</v>
      </c>
      <c r="K9" s="77">
        <v>25.9</v>
      </c>
      <c r="L9" s="77">
        <v>25.9</v>
      </c>
      <c r="M9" s="37">
        <v>21.4</v>
      </c>
      <c r="N9" s="75"/>
    </row>
    <row r="10" spans="1:14" ht="38.25" customHeight="1">
      <c r="A10" s="30" t="s">
        <v>60</v>
      </c>
      <c r="B10" s="76"/>
      <c r="C10" s="83">
        <f t="shared" si="0"/>
        <v>120</v>
      </c>
      <c r="D10" s="77">
        <v>15</v>
      </c>
      <c r="E10" s="77">
        <v>15</v>
      </c>
      <c r="F10" s="77">
        <v>15</v>
      </c>
      <c r="G10" s="77">
        <v>7.5</v>
      </c>
      <c r="H10" s="77">
        <v>7.5</v>
      </c>
      <c r="I10" s="77">
        <v>15</v>
      </c>
      <c r="J10" s="77">
        <v>15</v>
      </c>
      <c r="K10" s="77">
        <v>15</v>
      </c>
      <c r="L10" s="77">
        <v>15</v>
      </c>
      <c r="M10" s="84">
        <f>2.88*1.04</f>
        <v>2.9952</v>
      </c>
      <c r="N10" s="75"/>
    </row>
    <row r="11" spans="1:14" ht="45" customHeight="1">
      <c r="A11" s="30" t="s">
        <v>53</v>
      </c>
      <c r="B11" s="76"/>
      <c r="C11" s="83">
        <f t="shared" si="0"/>
        <v>164.79999999999998</v>
      </c>
      <c r="D11" s="77">
        <v>20.6</v>
      </c>
      <c r="E11" s="77">
        <v>20.6</v>
      </c>
      <c r="F11" s="77">
        <v>20.6</v>
      </c>
      <c r="G11" s="77">
        <v>10.3</v>
      </c>
      <c r="H11" s="77">
        <v>10.3</v>
      </c>
      <c r="I11" s="77">
        <v>20.6</v>
      </c>
      <c r="J11" s="77">
        <v>20.6</v>
      </c>
      <c r="K11" s="77">
        <v>20.6</v>
      </c>
      <c r="L11" s="77">
        <v>20.6</v>
      </c>
      <c r="M11" s="23">
        <f>(350*12+200*12*15)/1000</f>
        <v>40.2</v>
      </c>
      <c r="N11" s="75"/>
    </row>
    <row r="12" spans="1:14" ht="33" customHeight="1">
      <c r="A12" s="30" t="s">
        <v>54</v>
      </c>
      <c r="B12" s="76"/>
      <c r="C12" s="83">
        <f t="shared" si="0"/>
        <v>56</v>
      </c>
      <c r="D12" s="77">
        <v>7</v>
      </c>
      <c r="E12" s="77">
        <v>7</v>
      </c>
      <c r="F12" s="77">
        <v>7</v>
      </c>
      <c r="G12" s="77">
        <v>3.5</v>
      </c>
      <c r="H12" s="77">
        <v>3.5</v>
      </c>
      <c r="I12" s="77">
        <v>7</v>
      </c>
      <c r="J12" s="77">
        <v>7</v>
      </c>
      <c r="K12" s="77">
        <v>7</v>
      </c>
      <c r="L12" s="77">
        <v>7</v>
      </c>
      <c r="M12" s="37">
        <v>6.2</v>
      </c>
      <c r="N12" s="75"/>
    </row>
    <row r="13" spans="1:14" ht="48.75" customHeight="1">
      <c r="A13" s="30" t="s">
        <v>55</v>
      </c>
      <c r="B13" s="76"/>
      <c r="C13" s="83">
        <f t="shared" si="0"/>
        <v>147.9</v>
      </c>
      <c r="D13" s="77">
        <v>18.5</v>
      </c>
      <c r="E13" s="77">
        <v>18.5</v>
      </c>
      <c r="F13" s="77">
        <v>18.5</v>
      </c>
      <c r="G13" s="77">
        <v>9.2</v>
      </c>
      <c r="H13" s="77">
        <v>9.2</v>
      </c>
      <c r="I13" s="77">
        <v>18.5</v>
      </c>
      <c r="J13" s="77">
        <v>18.5</v>
      </c>
      <c r="K13" s="77">
        <v>18.5</v>
      </c>
      <c r="L13" s="77">
        <v>18.5</v>
      </c>
      <c r="M13" s="23">
        <f>(6600+6000+2280+2500+160+900+600)/1000</f>
        <v>19.04</v>
      </c>
      <c r="N13" s="75"/>
    </row>
    <row r="14" spans="1:14" ht="56.25" customHeight="1">
      <c r="A14" s="30" t="s">
        <v>61</v>
      </c>
      <c r="B14" s="76"/>
      <c r="C14" s="83">
        <f t="shared" si="0"/>
        <v>350</v>
      </c>
      <c r="D14" s="77">
        <v>70</v>
      </c>
      <c r="E14" s="77">
        <v>35</v>
      </c>
      <c r="F14" s="77">
        <v>35</v>
      </c>
      <c r="G14" s="77">
        <v>35</v>
      </c>
      <c r="H14" s="77">
        <v>35</v>
      </c>
      <c r="I14" s="77">
        <v>35</v>
      </c>
      <c r="J14" s="77">
        <v>35</v>
      </c>
      <c r="K14" s="77">
        <v>35</v>
      </c>
      <c r="L14" s="77">
        <v>35</v>
      </c>
      <c r="M14" s="82"/>
      <c r="N14" s="75"/>
    </row>
    <row r="15" spans="1:14" s="78" customFormat="1" ht="36" customHeight="1">
      <c r="A15" s="66" t="s">
        <v>135</v>
      </c>
      <c r="B15" s="66"/>
      <c r="C15" s="714">
        <f>SUM(D15:L15)+0.1</f>
        <v>10822.7117504</v>
      </c>
      <c r="D15" s="81">
        <f>(D5*D4*D6*D7)+((D5*D4*D6*D7)*D8)+D14+D9+D10+D11+D12+D13</f>
        <v>2096.82376</v>
      </c>
      <c r="E15" s="81">
        <f aca="true" t="shared" si="1" ref="E15:L15">(E5*E4*E6*E7)+((E5*E4*E6*E7)*E8)+E14+E9+E10+E11+E12+E13</f>
        <v>1091.91188</v>
      </c>
      <c r="F15" s="81">
        <f t="shared" si="1"/>
        <v>1091.91188</v>
      </c>
      <c r="G15" s="81">
        <f t="shared" si="1"/>
        <v>1126.0048304</v>
      </c>
      <c r="H15" s="81">
        <f>(H5*H4*H6*H7)+((H5*H4*H6*H7)*H8)+H14+H9+H10+H11+H12+H13-0.1</f>
        <v>1048.3118800000002</v>
      </c>
      <c r="I15" s="81">
        <f t="shared" si="1"/>
        <v>1091.91188</v>
      </c>
      <c r="J15" s="81">
        <f t="shared" si="1"/>
        <v>1091.91188</v>
      </c>
      <c r="K15" s="81">
        <f t="shared" si="1"/>
        <v>1091.91188</v>
      </c>
      <c r="L15" s="81">
        <f t="shared" si="1"/>
        <v>1091.91188</v>
      </c>
      <c r="M15" s="80"/>
      <c r="N15" s="79"/>
    </row>
    <row r="16" spans="1:14" s="78" customFormat="1" ht="34.5" customHeight="1">
      <c r="A16" s="66" t="s">
        <v>136</v>
      </c>
      <c r="B16" s="66"/>
      <c r="C16" s="714">
        <f>SUM(D16:L16)-0.3</f>
        <v>10839.703842250008</v>
      </c>
      <c r="D16" s="81">
        <v>2098.96027148125</v>
      </c>
      <c r="E16" s="81">
        <v>1094.04839148125</v>
      </c>
      <c r="F16" s="81">
        <v>1094.04839148125</v>
      </c>
      <c r="G16" s="81">
        <v>1127.0230861406249</v>
      </c>
      <c r="H16" s="81">
        <f>1049.43013574063+0.3</f>
        <v>1049.73013574063</v>
      </c>
      <c r="I16" s="81">
        <v>1094.04839148125</v>
      </c>
      <c r="J16" s="81">
        <v>1094.04839148125</v>
      </c>
      <c r="K16" s="81">
        <v>1094.04839148125</v>
      </c>
      <c r="L16" s="81">
        <v>1094.04839148125</v>
      </c>
      <c r="M16" s="80"/>
      <c r="N16" s="79"/>
    </row>
    <row r="17" spans="1:12" ht="26.25" customHeight="1">
      <c r="A17" s="66" t="s">
        <v>165</v>
      </c>
      <c r="B17" s="124"/>
      <c r="C17" s="715">
        <f>SUM(D17:L17)-0.1</f>
        <v>10856.434802199548</v>
      </c>
      <c r="D17" s="81">
        <v>2101.051641474944</v>
      </c>
      <c r="E17" s="81">
        <v>1096.139761474944</v>
      </c>
      <c r="F17" s="81">
        <v>1096.139761474944</v>
      </c>
      <c r="G17" s="81">
        <v>1128.0687711374717</v>
      </c>
      <c r="H17" s="81">
        <f>1050.47582073747+0.1</f>
        <v>1050.57582073747</v>
      </c>
      <c r="I17" s="81">
        <v>1096.139761474944</v>
      </c>
      <c r="J17" s="81">
        <v>1096.139761474944</v>
      </c>
      <c r="K17" s="81">
        <v>1096.139761474944</v>
      </c>
      <c r="L17" s="81">
        <v>1096.139761474944</v>
      </c>
    </row>
    <row r="19" ht="12">
      <c r="K19" s="74"/>
    </row>
    <row r="20" spans="4:13" ht="12">
      <c r="D20" s="180"/>
      <c r="E20" s="180"/>
      <c r="F20" s="180"/>
      <c r="G20" s="180"/>
      <c r="H20" s="180"/>
      <c r="I20" s="180"/>
      <c r="J20" s="180"/>
      <c r="K20" s="180"/>
      <c r="L20" s="180"/>
      <c r="M20" s="180">
        <f>M9</f>
        <v>21.4</v>
      </c>
    </row>
    <row r="21" spans="2:13" ht="12">
      <c r="B21" s="181"/>
      <c r="C21" s="74"/>
      <c r="D21" s="180"/>
      <c r="E21" s="180"/>
      <c r="F21" s="180"/>
      <c r="G21" s="180"/>
      <c r="H21" s="180"/>
      <c r="I21" s="180"/>
      <c r="J21" s="180"/>
      <c r="K21" s="180"/>
      <c r="L21" s="180"/>
      <c r="M21" s="180"/>
    </row>
    <row r="22" spans="3:12" ht="12">
      <c r="C22" s="180"/>
      <c r="D22" s="180"/>
      <c r="E22" s="180"/>
      <c r="F22" s="180"/>
      <c r="G22" s="180"/>
      <c r="H22" s="180"/>
      <c r="I22" s="180"/>
      <c r="J22" s="180"/>
      <c r="K22" s="180"/>
      <c r="L22" s="180"/>
    </row>
    <row r="23" spans="3:12" ht="12">
      <c r="C23" s="180"/>
      <c r="D23" s="180"/>
      <c r="E23" s="180"/>
      <c r="F23" s="180"/>
      <c r="G23" s="180"/>
      <c r="H23" s="180"/>
      <c r="I23" s="180"/>
      <c r="J23" s="180"/>
      <c r="K23" s="180"/>
      <c r="L23" s="180"/>
    </row>
  </sheetData>
  <sheetProtection/>
  <mergeCells count="1">
    <mergeCell ref="A1:M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E31" sqref="E31"/>
    </sheetView>
  </sheetViews>
  <sheetFormatPr defaultColWidth="18.25390625" defaultRowHeight="12.75"/>
  <cols>
    <col min="1" max="1" width="34.00390625" style="94" customWidth="1"/>
    <col min="2" max="2" width="20.75390625" style="94" customWidth="1"/>
    <col min="3" max="3" width="17.375" style="94" customWidth="1"/>
    <col min="4" max="4" width="18.125" style="94" customWidth="1"/>
    <col min="5" max="5" width="23.375" style="94" customWidth="1"/>
    <col min="6" max="6" width="24.875" style="94" customWidth="1"/>
    <col min="7" max="7" width="22.00390625" style="94" customWidth="1"/>
    <col min="8" max="8" width="20.875" style="94" customWidth="1"/>
    <col min="9" max="9" width="26.375" style="94" customWidth="1"/>
    <col min="10" max="10" width="28.25390625" style="94" customWidth="1"/>
    <col min="11" max="11" width="30.125" style="94" customWidth="1"/>
    <col min="12" max="13" width="13.375" style="94" customWidth="1"/>
    <col min="14" max="15" width="13.75390625" style="94" customWidth="1"/>
    <col min="16" max="17" width="13.375" style="94" customWidth="1"/>
    <col min="18" max="18" width="10.875" style="94" customWidth="1"/>
    <col min="19" max="19" width="12.25390625" style="94" customWidth="1"/>
    <col min="20" max="16384" width="18.25390625" style="94" customWidth="1"/>
  </cols>
  <sheetData>
    <row r="1" spans="1:15" ht="19.5">
      <c r="A1" s="1402" t="s">
        <v>182</v>
      </c>
      <c r="B1" s="1402"/>
      <c r="C1" s="1402"/>
      <c r="D1" s="1402"/>
      <c r="E1" s="1402"/>
      <c r="F1" s="1402"/>
      <c r="G1" s="1402"/>
      <c r="H1" s="1402"/>
      <c r="I1" s="1402"/>
      <c r="J1" s="1402"/>
      <c r="K1" s="1402"/>
      <c r="L1" s="193"/>
      <c r="M1" s="193"/>
      <c r="N1" s="193"/>
      <c r="O1" s="193"/>
    </row>
    <row r="2" spans="1:15" ht="45" customHeight="1">
      <c r="A2" s="1402" t="s">
        <v>183</v>
      </c>
      <c r="B2" s="1402"/>
      <c r="C2" s="1402"/>
      <c r="D2" s="1402"/>
      <c r="E2" s="1402"/>
      <c r="F2" s="1402"/>
      <c r="G2" s="1402"/>
      <c r="H2" s="1402"/>
      <c r="I2" s="1402"/>
      <c r="J2" s="1402"/>
      <c r="K2" s="1402"/>
      <c r="L2" s="193"/>
      <c r="M2" s="193"/>
      <c r="N2" s="193"/>
      <c r="O2" s="193"/>
    </row>
    <row r="3" spans="1:15" ht="22.5" customHeight="1">
      <c r="A3" s="1402" t="s">
        <v>184</v>
      </c>
      <c r="B3" s="1402"/>
      <c r="C3" s="1402"/>
      <c r="D3" s="1402"/>
      <c r="E3" s="1402"/>
      <c r="F3" s="1402"/>
      <c r="G3" s="1402"/>
      <c r="H3" s="1402"/>
      <c r="I3" s="1402"/>
      <c r="J3" s="1402"/>
      <c r="K3" s="1402"/>
      <c r="L3" s="193"/>
      <c r="M3" s="193"/>
      <c r="N3" s="193"/>
      <c r="O3" s="193"/>
    </row>
    <row r="4" spans="1:7" ht="13.5" thickBot="1">
      <c r="A4" s="194"/>
      <c r="B4" s="194"/>
      <c r="C4" s="195"/>
      <c r="D4" s="195"/>
      <c r="E4" s="195"/>
      <c r="F4" s="195"/>
      <c r="G4" s="195"/>
    </row>
    <row r="5" spans="1:15" s="201" customFormat="1" ht="261" customHeight="1" thickBot="1">
      <c r="A5" s="196" t="s">
        <v>29</v>
      </c>
      <c r="B5" s="197" t="s">
        <v>185</v>
      </c>
      <c r="C5" s="198" t="s">
        <v>186</v>
      </c>
      <c r="D5" s="198" t="s">
        <v>187</v>
      </c>
      <c r="E5" s="198" t="s">
        <v>188</v>
      </c>
      <c r="F5" s="198" t="s">
        <v>189</v>
      </c>
      <c r="G5" s="198" t="s">
        <v>190</v>
      </c>
      <c r="H5" s="198" t="s">
        <v>191</v>
      </c>
      <c r="I5" s="198" t="s">
        <v>192</v>
      </c>
      <c r="J5" s="198" t="s">
        <v>193</v>
      </c>
      <c r="K5" s="199" t="s">
        <v>194</v>
      </c>
      <c r="L5" s="200"/>
      <c r="M5" s="200"/>
      <c r="N5" s="200"/>
      <c r="O5" s="200"/>
    </row>
    <row r="6" spans="1:15" s="191" customFormat="1" ht="15.75">
      <c r="A6" s="202"/>
      <c r="B6" s="203" t="s">
        <v>195</v>
      </c>
      <c r="C6" s="204" t="s">
        <v>196</v>
      </c>
      <c r="D6" s="204" t="s">
        <v>197</v>
      </c>
      <c r="E6" s="204" t="s">
        <v>198</v>
      </c>
      <c r="F6" s="204" t="s">
        <v>199</v>
      </c>
      <c r="G6" s="204"/>
      <c r="H6" s="204" t="s">
        <v>200</v>
      </c>
      <c r="I6" s="204" t="s">
        <v>201</v>
      </c>
      <c r="J6" s="204" t="s">
        <v>202</v>
      </c>
      <c r="K6" s="205"/>
      <c r="L6" s="200"/>
      <c r="M6" s="200"/>
      <c r="N6" s="200"/>
      <c r="O6" s="200"/>
    </row>
    <row r="7" spans="1:15" s="191" customFormat="1" ht="15.75">
      <c r="A7" s="206" t="s">
        <v>203</v>
      </c>
      <c r="B7" s="207"/>
      <c r="C7" s="208"/>
      <c r="D7" s="208">
        <f>D8+D10+D9</f>
        <v>18399</v>
      </c>
      <c r="E7" s="208">
        <f aca="true" t="shared" si="0" ref="E7:K7">E8+E10+E9</f>
        <v>67450.734</v>
      </c>
      <c r="F7" s="208">
        <f t="shared" si="0"/>
        <v>128774.601</v>
      </c>
      <c r="G7" s="208">
        <f t="shared" si="0"/>
        <v>214624.335</v>
      </c>
      <c r="H7" s="208">
        <f t="shared" si="0"/>
        <v>214624.335</v>
      </c>
      <c r="I7" s="208">
        <f t="shared" si="0"/>
        <v>214624.335</v>
      </c>
      <c r="J7" s="208">
        <f>J8+J10+J9</f>
        <v>64816.54917</v>
      </c>
      <c r="K7" s="209">
        <f t="shared" si="0"/>
        <v>3353290.6100399997</v>
      </c>
      <c r="L7" s="210"/>
      <c r="M7" s="210"/>
      <c r="N7" s="210"/>
      <c r="O7" s="210"/>
    </row>
    <row r="8" spans="1:15" s="191" customFormat="1" ht="15.75">
      <c r="A8" s="206" t="s">
        <v>204</v>
      </c>
      <c r="B8" s="211">
        <v>1</v>
      </c>
      <c r="C8" s="212">
        <v>1</v>
      </c>
      <c r="D8" s="212">
        <v>6563</v>
      </c>
      <c r="E8" s="212">
        <f>D8*3.666</f>
        <v>24059.958</v>
      </c>
      <c r="F8" s="212">
        <f aca="true" t="shared" si="1" ref="F8:F19">(D8+E8)*1.5</f>
        <v>45934.437</v>
      </c>
      <c r="G8" s="212">
        <f>D8+E8+F8</f>
        <v>76557.39499999999</v>
      </c>
      <c r="H8" s="212">
        <f>G8*C8</f>
        <v>76557.39499999999</v>
      </c>
      <c r="I8" s="212">
        <f>H8*B8</f>
        <v>76557.39499999999</v>
      </c>
      <c r="J8" s="212">
        <f>I8*0.302</f>
        <v>23120.333289999995</v>
      </c>
      <c r="K8" s="213">
        <f>(I8+J8)*12</f>
        <v>1196132.7394799998</v>
      </c>
      <c r="L8" s="214"/>
      <c r="M8" s="214"/>
      <c r="N8" s="214"/>
      <c r="O8" s="214"/>
    </row>
    <row r="9" spans="1:15" s="191" customFormat="1" ht="15.75">
      <c r="A9" s="206" t="s">
        <v>205</v>
      </c>
      <c r="B9" s="211">
        <v>1</v>
      </c>
      <c r="C9" s="212">
        <v>1</v>
      </c>
      <c r="D9" s="212">
        <v>6174</v>
      </c>
      <c r="E9" s="212">
        <f aca="true" t="shared" si="2" ref="E9:E19">D9*3.666</f>
        <v>22633.884</v>
      </c>
      <c r="F9" s="212">
        <f>(D9+E9)*1.5</f>
        <v>43211.826</v>
      </c>
      <c r="G9" s="212">
        <f>D9+E9+F9</f>
        <v>72019.70999999999</v>
      </c>
      <c r="H9" s="212">
        <f>G9*C9</f>
        <v>72019.70999999999</v>
      </c>
      <c r="I9" s="212">
        <f>H9*B9</f>
        <v>72019.70999999999</v>
      </c>
      <c r="J9" s="212">
        <f>I9*0.302</f>
        <v>21749.952419999998</v>
      </c>
      <c r="K9" s="213">
        <f>(I9+J9)*12</f>
        <v>1125235.9490399999</v>
      </c>
      <c r="L9" s="214"/>
      <c r="M9" s="214"/>
      <c r="N9" s="214"/>
      <c r="O9" s="214"/>
    </row>
    <row r="10" spans="1:15" s="191" customFormat="1" ht="15.75">
      <c r="A10" s="206" t="s">
        <v>206</v>
      </c>
      <c r="B10" s="211">
        <v>1</v>
      </c>
      <c r="C10" s="212">
        <v>1</v>
      </c>
      <c r="D10" s="212">
        <v>5662</v>
      </c>
      <c r="E10" s="212">
        <f t="shared" si="2"/>
        <v>20756.892</v>
      </c>
      <c r="F10" s="212">
        <f t="shared" si="1"/>
        <v>39628.338</v>
      </c>
      <c r="G10" s="212">
        <f aca="true" t="shared" si="3" ref="G10:G19">D10+E10+F10</f>
        <v>66047.23000000001</v>
      </c>
      <c r="H10" s="212">
        <f aca="true" t="shared" si="4" ref="H10:H19">G10*C10</f>
        <v>66047.23000000001</v>
      </c>
      <c r="I10" s="212">
        <f aca="true" t="shared" si="5" ref="I10:I19">H10*B10</f>
        <v>66047.23000000001</v>
      </c>
      <c r="J10" s="212">
        <f>I10*0.302</f>
        <v>19946.263460000002</v>
      </c>
      <c r="K10" s="213">
        <f aca="true" t="shared" si="6" ref="K10:K19">(I10+J10)*12</f>
        <v>1031921.9215200001</v>
      </c>
      <c r="L10" s="214"/>
      <c r="M10" s="214"/>
      <c r="N10" s="214"/>
      <c r="O10" s="214"/>
    </row>
    <row r="11" spans="1:15" s="191" customFormat="1" ht="15.75">
      <c r="A11" s="215" t="s">
        <v>478</v>
      </c>
      <c r="B11" s="211">
        <v>1</v>
      </c>
      <c r="C11" s="212">
        <v>0.5</v>
      </c>
      <c r="D11" s="212">
        <v>5662</v>
      </c>
      <c r="E11" s="212">
        <f>D11*3.666</f>
        <v>20756.892</v>
      </c>
      <c r="F11" s="212">
        <f>(D11+E11)*1.5</f>
        <v>39628.338</v>
      </c>
      <c r="G11" s="212">
        <f>D11+E11+F11</f>
        <v>66047.23000000001</v>
      </c>
      <c r="H11" s="212">
        <f>G11*C11</f>
        <v>33023.615000000005</v>
      </c>
      <c r="I11" s="212">
        <f>H11*B11</f>
        <v>33023.615000000005</v>
      </c>
      <c r="J11" s="212">
        <f>I11*0.302</f>
        <v>9973.131730000001</v>
      </c>
      <c r="K11" s="213">
        <f>(I11+J11)*12</f>
        <v>515960.96076000005</v>
      </c>
      <c r="L11" s="214"/>
      <c r="M11" s="214"/>
      <c r="N11" s="214"/>
      <c r="O11" s="214"/>
    </row>
    <row r="12" spans="1:15" s="191" customFormat="1" ht="15.75">
      <c r="A12" s="215" t="s">
        <v>483</v>
      </c>
      <c r="B12" s="211">
        <v>1</v>
      </c>
      <c r="C12" s="212">
        <v>0.5</v>
      </c>
      <c r="D12" s="212">
        <v>5662</v>
      </c>
      <c r="E12" s="212">
        <f>D12*3.666</f>
        <v>20756.892</v>
      </c>
      <c r="F12" s="212">
        <f>(D12+E12)*1.5</f>
        <v>39628.338</v>
      </c>
      <c r="G12" s="212">
        <f>D12+E12+F12</f>
        <v>66047.23000000001</v>
      </c>
      <c r="H12" s="212">
        <f>G12*C12</f>
        <v>33023.615000000005</v>
      </c>
      <c r="I12" s="212">
        <f>H12*B12</f>
        <v>33023.615000000005</v>
      </c>
      <c r="J12" s="212">
        <f>I12*0.302</f>
        <v>9973.131730000001</v>
      </c>
      <c r="K12" s="213">
        <f>(I12+J12)*12</f>
        <v>515960.96076000005</v>
      </c>
      <c r="L12" s="214"/>
      <c r="M12" s="214"/>
      <c r="N12" s="214"/>
      <c r="O12" s="214"/>
    </row>
    <row r="13" spans="1:15" s="191" customFormat="1" ht="15.75">
      <c r="A13" s="206"/>
      <c r="B13" s="211"/>
      <c r="C13" s="212"/>
      <c r="D13" s="212"/>
      <c r="E13" s="212"/>
      <c r="F13" s="212"/>
      <c r="G13" s="212"/>
      <c r="H13" s="212"/>
      <c r="I13" s="212"/>
      <c r="J13" s="212"/>
      <c r="K13" s="213"/>
      <c r="L13" s="214"/>
      <c r="M13" s="214"/>
      <c r="N13" s="214"/>
      <c r="O13" s="214"/>
    </row>
    <row r="14" spans="1:15" s="191" customFormat="1" ht="15.75">
      <c r="A14" s="206" t="s">
        <v>33</v>
      </c>
      <c r="B14" s="211">
        <v>1</v>
      </c>
      <c r="C14" s="212">
        <v>1</v>
      </c>
      <c r="D14" s="212">
        <v>5662</v>
      </c>
      <c r="E14" s="212">
        <f t="shared" si="2"/>
        <v>20756.892</v>
      </c>
      <c r="F14" s="212">
        <f t="shared" si="1"/>
        <v>39628.338</v>
      </c>
      <c r="G14" s="212">
        <f t="shared" si="3"/>
        <v>66047.23000000001</v>
      </c>
      <c r="H14" s="212">
        <f t="shared" si="4"/>
        <v>66047.23000000001</v>
      </c>
      <c r="I14" s="212">
        <f t="shared" si="5"/>
        <v>66047.23000000001</v>
      </c>
      <c r="J14" s="212">
        <f aca="true" t="shared" si="7" ref="J14:J19">I14*0.302</f>
        <v>19946.263460000002</v>
      </c>
      <c r="K14" s="213">
        <f t="shared" si="6"/>
        <v>1031921.9215200001</v>
      </c>
      <c r="L14" s="214"/>
      <c r="M14" s="214"/>
      <c r="N14" s="214"/>
      <c r="O14" s="214"/>
    </row>
    <row r="15" spans="1:15" s="191" customFormat="1" ht="15.75">
      <c r="A15" s="215" t="s">
        <v>36</v>
      </c>
      <c r="B15" s="211">
        <v>1</v>
      </c>
      <c r="C15" s="212">
        <v>0.5</v>
      </c>
      <c r="D15" s="212">
        <v>5662</v>
      </c>
      <c r="E15" s="212">
        <f t="shared" si="2"/>
        <v>20756.892</v>
      </c>
      <c r="F15" s="212">
        <f t="shared" si="1"/>
        <v>39628.338</v>
      </c>
      <c r="G15" s="212">
        <f t="shared" si="3"/>
        <v>66047.23000000001</v>
      </c>
      <c r="H15" s="212">
        <f t="shared" si="4"/>
        <v>33023.615000000005</v>
      </c>
      <c r="I15" s="212">
        <f t="shared" si="5"/>
        <v>33023.615000000005</v>
      </c>
      <c r="J15" s="212">
        <f t="shared" si="7"/>
        <v>9973.131730000001</v>
      </c>
      <c r="K15" s="213">
        <f t="shared" si="6"/>
        <v>515960.96076000005</v>
      </c>
      <c r="L15" s="214"/>
      <c r="M15" s="214"/>
      <c r="N15" s="214"/>
      <c r="O15" s="214"/>
    </row>
    <row r="16" spans="1:15" s="191" customFormat="1" ht="15.75">
      <c r="A16" s="215" t="s">
        <v>31</v>
      </c>
      <c r="B16" s="211">
        <v>1</v>
      </c>
      <c r="C16" s="212">
        <v>0.5</v>
      </c>
      <c r="D16" s="212">
        <v>5662</v>
      </c>
      <c r="E16" s="212">
        <f t="shared" si="2"/>
        <v>20756.892</v>
      </c>
      <c r="F16" s="212">
        <f t="shared" si="1"/>
        <v>39628.338</v>
      </c>
      <c r="G16" s="212">
        <f t="shared" si="3"/>
        <v>66047.23000000001</v>
      </c>
      <c r="H16" s="212">
        <f t="shared" si="4"/>
        <v>33023.615000000005</v>
      </c>
      <c r="I16" s="212">
        <f t="shared" si="5"/>
        <v>33023.615000000005</v>
      </c>
      <c r="J16" s="212">
        <f t="shared" si="7"/>
        <v>9973.131730000001</v>
      </c>
      <c r="K16" s="213">
        <f t="shared" si="6"/>
        <v>515960.96076000005</v>
      </c>
      <c r="L16" s="214"/>
      <c r="M16" s="214"/>
      <c r="N16" s="214"/>
      <c r="O16" s="214"/>
    </row>
    <row r="17" spans="1:15" s="191" customFormat="1" ht="15.75">
      <c r="A17" s="215" t="s">
        <v>1</v>
      </c>
      <c r="B17" s="211">
        <v>1</v>
      </c>
      <c r="C17" s="212">
        <v>0.5</v>
      </c>
      <c r="D17" s="212">
        <v>5662</v>
      </c>
      <c r="E17" s="212">
        <f t="shared" si="2"/>
        <v>20756.892</v>
      </c>
      <c r="F17" s="212">
        <f t="shared" si="1"/>
        <v>39628.338</v>
      </c>
      <c r="G17" s="212">
        <f t="shared" si="3"/>
        <v>66047.23000000001</v>
      </c>
      <c r="H17" s="212">
        <f t="shared" si="4"/>
        <v>33023.615000000005</v>
      </c>
      <c r="I17" s="212">
        <f t="shared" si="5"/>
        <v>33023.615000000005</v>
      </c>
      <c r="J17" s="212">
        <f t="shared" si="7"/>
        <v>9973.131730000001</v>
      </c>
      <c r="K17" s="213">
        <f t="shared" si="6"/>
        <v>515960.96076000005</v>
      </c>
      <c r="L17" s="214"/>
      <c r="M17" s="214"/>
      <c r="N17" s="214"/>
      <c r="O17" s="214"/>
    </row>
    <row r="18" spans="1:15" s="191" customFormat="1" ht="15.75">
      <c r="A18" s="215" t="s">
        <v>0</v>
      </c>
      <c r="B18" s="211">
        <v>1</v>
      </c>
      <c r="C18" s="216">
        <v>1</v>
      </c>
      <c r="D18" s="212">
        <v>5662</v>
      </c>
      <c r="E18" s="212">
        <f t="shared" si="2"/>
        <v>20756.892</v>
      </c>
      <c r="F18" s="212">
        <f t="shared" si="1"/>
        <v>39628.338</v>
      </c>
      <c r="G18" s="212">
        <f t="shared" si="3"/>
        <v>66047.23000000001</v>
      </c>
      <c r="H18" s="212">
        <f t="shared" si="4"/>
        <v>66047.23000000001</v>
      </c>
      <c r="I18" s="212">
        <f t="shared" si="5"/>
        <v>66047.23000000001</v>
      </c>
      <c r="J18" s="212">
        <f t="shared" si="7"/>
        <v>19946.263460000002</v>
      </c>
      <c r="K18" s="213">
        <f t="shared" si="6"/>
        <v>1031921.9215200001</v>
      </c>
      <c r="L18" s="214"/>
      <c r="M18" s="214"/>
      <c r="N18" s="214"/>
      <c r="O18" s="214"/>
    </row>
    <row r="19" spans="1:15" s="191" customFormat="1" ht="15.75">
      <c r="A19" s="215" t="s">
        <v>32</v>
      </c>
      <c r="B19" s="211">
        <v>1</v>
      </c>
      <c r="C19" s="216">
        <v>1</v>
      </c>
      <c r="D19" s="212">
        <v>5662</v>
      </c>
      <c r="E19" s="212">
        <f t="shared" si="2"/>
        <v>20756.892</v>
      </c>
      <c r="F19" s="212">
        <f t="shared" si="1"/>
        <v>39628.338</v>
      </c>
      <c r="G19" s="212">
        <f t="shared" si="3"/>
        <v>66047.23000000001</v>
      </c>
      <c r="H19" s="212">
        <f t="shared" si="4"/>
        <v>66047.23000000001</v>
      </c>
      <c r="I19" s="212">
        <f t="shared" si="5"/>
        <v>66047.23000000001</v>
      </c>
      <c r="J19" s="212">
        <f t="shared" si="7"/>
        <v>19946.263460000002</v>
      </c>
      <c r="K19" s="213">
        <f t="shared" si="6"/>
        <v>1031921.9215200001</v>
      </c>
      <c r="L19" s="214"/>
      <c r="M19" s="214"/>
      <c r="N19" s="214"/>
      <c r="O19" s="214"/>
    </row>
    <row r="20" spans="1:15" s="191" customFormat="1" ht="16.5" thickBot="1">
      <c r="A20" s="217" t="s">
        <v>40</v>
      </c>
      <c r="B20" s="218">
        <f>SUM(B8:B19)</f>
        <v>11</v>
      </c>
      <c r="C20" s="218">
        <f>SUM(C8:C19)</f>
        <v>8.5</v>
      </c>
      <c r="D20" s="218">
        <f>D7+D11+D12+D14+D15+D16+D17+D18+D19</f>
        <v>63695</v>
      </c>
      <c r="E20" s="218">
        <f aca="true" t="shared" si="8" ref="E20:K20">E7+E11+E12+E14+E15+E16+E17+E18+E19</f>
        <v>233505.86999999994</v>
      </c>
      <c r="F20" s="218">
        <f t="shared" si="8"/>
        <v>445801.30499999993</v>
      </c>
      <c r="G20" s="218">
        <f t="shared" si="8"/>
        <v>743002.1749999999</v>
      </c>
      <c r="H20" s="218">
        <f t="shared" si="8"/>
        <v>577884.1</v>
      </c>
      <c r="I20" s="218">
        <f t="shared" si="8"/>
        <v>577884.1</v>
      </c>
      <c r="J20" s="218">
        <f t="shared" si="8"/>
        <v>174520.99819999997</v>
      </c>
      <c r="K20" s="218">
        <f t="shared" si="8"/>
        <v>9028861.1784</v>
      </c>
      <c r="L20" s="210"/>
      <c r="M20" s="210"/>
      <c r="N20" s="210"/>
      <c r="O20" s="210"/>
    </row>
    <row r="21" spans="1:1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5" ht="12" customHeight="1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190"/>
      <c r="M22" s="190"/>
      <c r="N22" s="190"/>
      <c r="O22" s="190"/>
    </row>
    <row r="23" spans="1:11" ht="190.5" customHeight="1" thickBot="1">
      <c r="A23" s="196" t="s">
        <v>29</v>
      </c>
      <c r="B23" s="198" t="s">
        <v>207</v>
      </c>
      <c r="C23" s="198" t="s">
        <v>208</v>
      </c>
      <c r="D23" s="198" t="s">
        <v>209</v>
      </c>
      <c r="E23" s="198" t="s">
        <v>210</v>
      </c>
      <c r="F23" s="198" t="s">
        <v>211</v>
      </c>
      <c r="G23" s="198" t="s">
        <v>212</v>
      </c>
      <c r="H23" s="219" t="s">
        <v>213</v>
      </c>
      <c r="I23" s="220" t="s">
        <v>214</v>
      </c>
      <c r="J23" s="220" t="s">
        <v>215</v>
      </c>
      <c r="K23" s="221" t="s">
        <v>216</v>
      </c>
    </row>
    <row r="24" spans="1:11" ht="15.75">
      <c r="A24" s="202"/>
      <c r="B24" s="204" t="s">
        <v>217</v>
      </c>
      <c r="C24" s="204" t="s">
        <v>218</v>
      </c>
      <c r="D24" s="204" t="s">
        <v>219</v>
      </c>
      <c r="E24" s="204" t="s">
        <v>220</v>
      </c>
      <c r="F24" s="204" t="s">
        <v>221</v>
      </c>
      <c r="G24" s="204" t="s">
        <v>222</v>
      </c>
      <c r="H24" s="222" t="s">
        <v>223</v>
      </c>
      <c r="I24" s="223" t="s">
        <v>223</v>
      </c>
      <c r="J24" s="224"/>
      <c r="K24" s="225"/>
    </row>
    <row r="25" spans="1:11" ht="15.75">
      <c r="A25" s="206" t="s">
        <v>203</v>
      </c>
      <c r="B25" s="208">
        <f aca="true" t="shared" si="9" ref="B25:G25">B26+B28+B27</f>
        <v>163435</v>
      </c>
      <c r="C25" s="208">
        <f t="shared" si="9"/>
        <v>42210</v>
      </c>
      <c r="D25" s="208">
        <f t="shared" si="9"/>
        <v>36645</v>
      </c>
      <c r="E25" s="208">
        <f t="shared" si="9"/>
        <v>1785</v>
      </c>
      <c r="F25" s="208">
        <f t="shared" si="9"/>
        <v>83000</v>
      </c>
      <c r="G25" s="208">
        <f t="shared" si="9"/>
        <v>126400</v>
      </c>
      <c r="H25" s="226">
        <f>SUM(A25:G25)</f>
        <v>453475</v>
      </c>
      <c r="I25" s="227">
        <f>I26+I28+I27</f>
        <v>3806.7999999999997</v>
      </c>
      <c r="J25" s="227">
        <v>3806.8</v>
      </c>
      <c r="K25" s="227">
        <v>3806.8</v>
      </c>
    </row>
    <row r="26" spans="1:11" ht="15.75" hidden="1">
      <c r="A26" s="206" t="s">
        <v>204</v>
      </c>
      <c r="B26" s="208">
        <v>54480</v>
      </c>
      <c r="C26" s="208">
        <v>14070</v>
      </c>
      <c r="D26" s="208">
        <v>12215</v>
      </c>
      <c r="E26" s="208">
        <v>595</v>
      </c>
      <c r="F26" s="208">
        <v>27666</v>
      </c>
      <c r="G26" s="208">
        <v>42133</v>
      </c>
      <c r="H26" s="226">
        <f>SUM(A26:G26)</f>
        <v>151159</v>
      </c>
      <c r="I26" s="228">
        <v>1347.3</v>
      </c>
      <c r="J26" s="228">
        <v>1347.3</v>
      </c>
      <c r="K26" s="228">
        <v>1347.3</v>
      </c>
    </row>
    <row r="27" spans="1:11" ht="15.75" hidden="1">
      <c r="A27" s="206" t="s">
        <v>205</v>
      </c>
      <c r="B27" s="208">
        <v>54480</v>
      </c>
      <c r="C27" s="208">
        <v>14070</v>
      </c>
      <c r="D27" s="208">
        <v>12215</v>
      </c>
      <c r="E27" s="208">
        <v>595</v>
      </c>
      <c r="F27" s="208">
        <v>27667</v>
      </c>
      <c r="G27" s="208">
        <v>42133</v>
      </c>
      <c r="H27" s="226">
        <f>SUM(A27:G27)</f>
        <v>151160</v>
      </c>
      <c r="I27" s="228">
        <v>1276.4</v>
      </c>
      <c r="J27" s="228">
        <v>1276.4</v>
      </c>
      <c r="K27" s="228">
        <v>1276.4</v>
      </c>
    </row>
    <row r="28" spans="1:11" ht="15.75" hidden="1">
      <c r="A28" s="206" t="s">
        <v>206</v>
      </c>
      <c r="B28" s="208">
        <v>54475</v>
      </c>
      <c r="C28" s="208">
        <v>14070</v>
      </c>
      <c r="D28" s="208">
        <v>12215</v>
      </c>
      <c r="E28" s="208">
        <v>595</v>
      </c>
      <c r="F28" s="208">
        <v>27667</v>
      </c>
      <c r="G28" s="208">
        <v>42134</v>
      </c>
      <c r="H28" s="226">
        <f aca="true" t="shared" si="10" ref="H28:H37">SUM(A28:G28)</f>
        <v>151156</v>
      </c>
      <c r="I28" s="228">
        <v>1183.1</v>
      </c>
      <c r="J28" s="228">
        <v>1183.1</v>
      </c>
      <c r="K28" s="228">
        <v>1183.1</v>
      </c>
    </row>
    <row r="29" spans="1:11" ht="15.75">
      <c r="A29" s="215" t="s">
        <v>478</v>
      </c>
      <c r="B29" s="212">
        <v>5513</v>
      </c>
      <c r="C29" s="212">
        <v>6250</v>
      </c>
      <c r="D29" s="212">
        <v>16550</v>
      </c>
      <c r="E29" s="212">
        <v>1050</v>
      </c>
      <c r="F29" s="212">
        <v>10500</v>
      </c>
      <c r="G29" s="212">
        <v>21000</v>
      </c>
      <c r="H29" s="226">
        <f>SUM(A29:G29)</f>
        <v>60863</v>
      </c>
      <c r="I29" s="228">
        <v>576.8</v>
      </c>
      <c r="J29" s="228">
        <v>576.8</v>
      </c>
      <c r="K29" s="228">
        <v>576.8</v>
      </c>
    </row>
    <row r="30" spans="1:11" ht="15.75">
      <c r="A30" s="215" t="s">
        <v>483</v>
      </c>
      <c r="B30" s="212">
        <v>144815</v>
      </c>
      <c r="C30" s="212">
        <v>29768</v>
      </c>
      <c r="D30" s="212">
        <v>27570</v>
      </c>
      <c r="E30" s="212">
        <v>1050</v>
      </c>
      <c r="F30" s="212">
        <v>10500</v>
      </c>
      <c r="G30" s="212">
        <v>21000</v>
      </c>
      <c r="H30" s="226">
        <f>SUM(A30:G30)</f>
        <v>234703</v>
      </c>
      <c r="I30" s="228">
        <v>750.7</v>
      </c>
      <c r="J30" s="228">
        <v>750.7</v>
      </c>
      <c r="K30" s="228">
        <v>750.7</v>
      </c>
    </row>
    <row r="31" spans="1:11" ht="15.75">
      <c r="A31" s="206"/>
      <c r="B31" s="212"/>
      <c r="C31" s="212"/>
      <c r="D31" s="212"/>
      <c r="E31" s="212"/>
      <c r="F31" s="212"/>
      <c r="G31" s="212"/>
      <c r="H31" s="226"/>
      <c r="I31" s="228"/>
      <c r="J31" s="228"/>
      <c r="K31" s="228"/>
    </row>
    <row r="32" spans="1:11" ht="15.75">
      <c r="A32" s="206" t="s">
        <v>33</v>
      </c>
      <c r="B32" s="212">
        <v>12017</v>
      </c>
      <c r="C32" s="212">
        <v>25358</v>
      </c>
      <c r="D32" s="212">
        <v>44849</v>
      </c>
      <c r="E32" s="212">
        <v>5091</v>
      </c>
      <c r="F32" s="212">
        <v>10181</v>
      </c>
      <c r="G32" s="212">
        <v>21000</v>
      </c>
      <c r="H32" s="226">
        <f t="shared" si="10"/>
        <v>118496</v>
      </c>
      <c r="I32" s="228">
        <v>1150.4</v>
      </c>
      <c r="J32" s="228">
        <v>1150.4</v>
      </c>
      <c r="K32" s="228">
        <v>1150.4</v>
      </c>
    </row>
    <row r="33" spans="1:11" ht="15.75">
      <c r="A33" s="215" t="s">
        <v>36</v>
      </c>
      <c r="B33" s="212">
        <v>85575</v>
      </c>
      <c r="C33" s="212">
        <v>11025</v>
      </c>
      <c r="D33" s="212">
        <v>20950</v>
      </c>
      <c r="E33" s="212">
        <v>2100</v>
      </c>
      <c r="F33" s="212">
        <v>21000</v>
      </c>
      <c r="G33" s="212">
        <v>21000</v>
      </c>
      <c r="H33" s="226">
        <f t="shared" si="10"/>
        <v>161650</v>
      </c>
      <c r="I33" s="228">
        <v>677.6</v>
      </c>
      <c r="J33" s="228">
        <v>677.6</v>
      </c>
      <c r="K33" s="228">
        <v>677.6</v>
      </c>
    </row>
    <row r="34" spans="1:11" ht="15.75">
      <c r="A34" s="215" t="s">
        <v>31</v>
      </c>
      <c r="B34" s="212">
        <v>20727</v>
      </c>
      <c r="C34" s="212">
        <v>5715</v>
      </c>
      <c r="D34" s="212">
        <v>19850</v>
      </c>
      <c r="E34" s="212">
        <v>1050</v>
      </c>
      <c r="F34" s="212">
        <v>5460</v>
      </c>
      <c r="G34" s="212">
        <v>21000</v>
      </c>
      <c r="H34" s="226">
        <f t="shared" si="10"/>
        <v>73802</v>
      </c>
      <c r="I34" s="228">
        <v>589.8</v>
      </c>
      <c r="J34" s="228">
        <v>589.8</v>
      </c>
      <c r="K34" s="228">
        <v>589.8</v>
      </c>
    </row>
    <row r="35" spans="1:11" ht="15.75">
      <c r="A35" s="215" t="s">
        <v>1</v>
      </c>
      <c r="B35" s="212">
        <v>17640</v>
      </c>
      <c r="C35" s="212">
        <v>4208</v>
      </c>
      <c r="D35" s="212">
        <v>1105</v>
      </c>
      <c r="E35" s="212">
        <v>1150</v>
      </c>
      <c r="F35" s="212">
        <v>1050</v>
      </c>
      <c r="G35" s="212">
        <v>21000</v>
      </c>
      <c r="H35" s="226">
        <f t="shared" si="10"/>
        <v>46153</v>
      </c>
      <c r="I35" s="228">
        <v>562.1</v>
      </c>
      <c r="J35" s="228">
        <v>562.1</v>
      </c>
      <c r="K35" s="228">
        <v>562.1</v>
      </c>
    </row>
    <row r="36" spans="1:11" ht="15.75">
      <c r="A36" s="215" t="s">
        <v>0</v>
      </c>
      <c r="B36" s="212">
        <v>109350</v>
      </c>
      <c r="C36" s="212">
        <v>10500</v>
      </c>
      <c r="D36" s="212">
        <v>9660</v>
      </c>
      <c r="E36" s="212">
        <v>2100</v>
      </c>
      <c r="F36" s="212">
        <v>2100</v>
      </c>
      <c r="G36" s="212">
        <v>20000</v>
      </c>
      <c r="H36" s="226">
        <f t="shared" si="10"/>
        <v>153710</v>
      </c>
      <c r="I36" s="228">
        <v>1185.6</v>
      </c>
      <c r="J36" s="228">
        <v>1185.6</v>
      </c>
      <c r="K36" s="228">
        <v>1185.6</v>
      </c>
    </row>
    <row r="37" spans="1:11" ht="16.5" thickBot="1">
      <c r="A37" s="229" t="s">
        <v>32</v>
      </c>
      <c r="B37" s="230">
        <v>2100</v>
      </c>
      <c r="C37" s="230">
        <v>17640</v>
      </c>
      <c r="D37" s="230">
        <v>19850</v>
      </c>
      <c r="E37" s="230">
        <v>2100</v>
      </c>
      <c r="F37" s="230">
        <v>21000</v>
      </c>
      <c r="G37" s="230">
        <v>20000</v>
      </c>
      <c r="H37" s="231">
        <f t="shared" si="10"/>
        <v>82690</v>
      </c>
      <c r="I37" s="232">
        <v>1114.6</v>
      </c>
      <c r="J37" s="232">
        <v>1114.6</v>
      </c>
      <c r="K37" s="232">
        <v>1114.6</v>
      </c>
    </row>
    <row r="38" spans="1:11" s="95" customFormat="1" ht="20.25" customHeight="1" thickBot="1">
      <c r="A38" s="233" t="s">
        <v>40</v>
      </c>
      <c r="B38" s="234">
        <f>B25+B29+B30+B32+B33+B34+B35+B36+B37</f>
        <v>561172</v>
      </c>
      <c r="C38" s="234">
        <f aca="true" t="shared" si="11" ref="C38:H38">C25+C29+C30+C32+C33+C34+C35+C36+C37</f>
        <v>152674</v>
      </c>
      <c r="D38" s="234">
        <f t="shared" si="11"/>
        <v>197029</v>
      </c>
      <c r="E38" s="234">
        <f t="shared" si="11"/>
        <v>17476</v>
      </c>
      <c r="F38" s="234">
        <f t="shared" si="11"/>
        <v>164791</v>
      </c>
      <c r="G38" s="234">
        <f t="shared" si="11"/>
        <v>292400</v>
      </c>
      <c r="H38" s="234">
        <f t="shared" si="11"/>
        <v>1385542</v>
      </c>
      <c r="I38" s="234">
        <f>I25+I29+I30+I32+I33+I34+I35+I36+I37</f>
        <v>10414.4</v>
      </c>
      <c r="J38" s="234">
        <f>J25+J29+J30+J32+J33+J34+J35+J36+J37</f>
        <v>10414.400000000001</v>
      </c>
      <c r="K38" s="234">
        <f>K25+K29+K30+K32+K33+K34+K35+K36+K37</f>
        <v>10414.400000000001</v>
      </c>
    </row>
  </sheetData>
  <sheetProtection/>
  <mergeCells count="3">
    <mergeCell ref="A1:K1"/>
    <mergeCell ref="A2:K2"/>
    <mergeCell ref="A3:K3"/>
  </mergeCells>
  <printOptions horizontalCentered="1"/>
  <pageMargins left="0.2362204724409449" right="0.2755905511811024" top="0.7480314960629921" bottom="0.7480314960629921" header="0.31496062992125984" footer="0.31496062992125984"/>
  <pageSetup horizontalDpi="600" verticalDpi="600" orientation="landscape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zoomScalePageLayoutView="0" workbookViewId="0" topLeftCell="A1">
      <selection activeCell="E13" sqref="E13"/>
    </sheetView>
  </sheetViews>
  <sheetFormatPr defaultColWidth="20.75390625" defaultRowHeight="12.75"/>
  <cols>
    <col min="1" max="1" width="25.375" style="235" customWidth="1"/>
    <col min="2" max="2" width="22.25390625" style="235" customWidth="1"/>
    <col min="3" max="3" width="12.875" style="235" customWidth="1"/>
    <col min="4" max="4" width="14.625" style="235" customWidth="1"/>
    <col min="5" max="5" width="14.00390625" style="235" customWidth="1"/>
    <col min="6" max="6" width="9.25390625" style="235" customWidth="1"/>
    <col min="7" max="7" width="17.125" style="235" hidden="1" customWidth="1"/>
    <col min="8" max="8" width="15.375" style="235" hidden="1" customWidth="1"/>
    <col min="9" max="9" width="15.875" style="235" hidden="1" customWidth="1"/>
    <col min="10" max="10" width="19.00390625" style="235" hidden="1" customWidth="1"/>
    <col min="11" max="11" width="15.375" style="235" hidden="1" customWidth="1"/>
    <col min="12" max="12" width="1.75390625" style="235" hidden="1" customWidth="1"/>
    <col min="13" max="13" width="15.625" style="235" hidden="1" customWidth="1"/>
    <col min="14" max="14" width="17.00390625" style="235" hidden="1" customWidth="1"/>
    <col min="15" max="15" width="15.625" style="235" customWidth="1"/>
    <col min="16" max="16" width="17.25390625" style="235" customWidth="1"/>
    <col min="17" max="17" width="11.125" style="235" customWidth="1"/>
    <col min="18" max="18" width="10.625" style="235" customWidth="1"/>
    <col min="19" max="20" width="9.375" style="235" customWidth="1"/>
    <col min="21" max="21" width="9.625" style="235" customWidth="1"/>
    <col min="22" max="22" width="9.25390625" style="235" customWidth="1"/>
    <col min="23" max="23" width="10.00390625" style="235" customWidth="1"/>
    <col min="24" max="25" width="11.75390625" style="235" customWidth="1"/>
    <col min="26" max="26" width="12.00390625" style="235" customWidth="1"/>
    <col min="27" max="253" width="18.25390625" style="235" customWidth="1"/>
    <col min="254" max="254" width="34.00390625" style="235" customWidth="1"/>
    <col min="255" max="255" width="29.625" style="235" customWidth="1"/>
    <col min="256" max="16384" width="20.75390625" style="235" customWidth="1"/>
  </cols>
  <sheetData>
    <row r="1" spans="1:26" ht="19.5" customHeight="1">
      <c r="A1" s="1413" t="s">
        <v>182</v>
      </c>
      <c r="B1" s="1413"/>
      <c r="C1" s="1413"/>
      <c r="D1" s="1413"/>
      <c r="E1" s="1413"/>
      <c r="F1" s="1413"/>
      <c r="G1" s="1413"/>
      <c r="H1" s="1413"/>
      <c r="I1" s="1413"/>
      <c r="J1" s="1413"/>
      <c r="K1" s="1413"/>
      <c r="L1" s="1413"/>
      <c r="M1" s="1413"/>
      <c r="N1" s="1413"/>
      <c r="O1" s="1413"/>
      <c r="P1" s="1413"/>
      <c r="Q1" s="1413"/>
      <c r="R1" s="1413"/>
      <c r="S1" s="1413"/>
      <c r="T1" s="1413"/>
      <c r="U1" s="1413"/>
      <c r="V1" s="1413"/>
      <c r="W1" s="1413"/>
      <c r="X1" s="1413"/>
      <c r="Y1" s="1413"/>
      <c r="Z1" s="1413"/>
    </row>
    <row r="2" spans="1:26" ht="57.75" customHeight="1">
      <c r="A2" s="1413" t="s">
        <v>224</v>
      </c>
      <c r="B2" s="1413"/>
      <c r="C2" s="1413"/>
      <c r="D2" s="1413"/>
      <c r="E2" s="1413"/>
      <c r="F2" s="1413"/>
      <c r="G2" s="1413"/>
      <c r="H2" s="1413"/>
      <c r="I2" s="1413"/>
      <c r="J2" s="1413"/>
      <c r="K2" s="1413"/>
      <c r="L2" s="1413"/>
      <c r="M2" s="1413"/>
      <c r="N2" s="1413"/>
      <c r="O2" s="1413"/>
      <c r="P2" s="1413"/>
      <c r="Q2" s="1413"/>
      <c r="R2" s="1413"/>
      <c r="S2" s="1413"/>
      <c r="T2" s="1413"/>
      <c r="U2" s="1413"/>
      <c r="V2" s="1413"/>
      <c r="W2" s="1413"/>
      <c r="X2" s="1413"/>
      <c r="Y2" s="1413"/>
      <c r="Z2" s="1413"/>
    </row>
    <row r="3" ht="12.75" hidden="1"/>
    <row r="4" spans="1:256" ht="12.75" customHeight="1" thickBo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  <c r="DG4" s="236"/>
      <c r="DH4" s="236"/>
      <c r="DI4" s="236"/>
      <c r="DJ4" s="236"/>
      <c r="DK4" s="236"/>
      <c r="DL4" s="236"/>
      <c r="DM4" s="236"/>
      <c r="DN4" s="236"/>
      <c r="DO4" s="236"/>
      <c r="DP4" s="236"/>
      <c r="DQ4" s="236"/>
      <c r="DR4" s="236"/>
      <c r="DS4" s="236"/>
      <c r="DT4" s="236"/>
      <c r="DU4" s="236"/>
      <c r="DV4" s="236"/>
      <c r="DW4" s="236"/>
      <c r="DX4" s="236"/>
      <c r="DY4" s="236"/>
      <c r="DZ4" s="236"/>
      <c r="EA4" s="236"/>
      <c r="EB4" s="236"/>
      <c r="EC4" s="236"/>
      <c r="ED4" s="236"/>
      <c r="EE4" s="236"/>
      <c r="EF4" s="236"/>
      <c r="EG4" s="236"/>
      <c r="EH4" s="236"/>
      <c r="EI4" s="236"/>
      <c r="EJ4" s="236"/>
      <c r="EK4" s="236"/>
      <c r="EL4" s="236"/>
      <c r="EM4" s="236"/>
      <c r="EN4" s="236"/>
      <c r="EO4" s="236"/>
      <c r="EP4" s="236"/>
      <c r="EQ4" s="236"/>
      <c r="ER4" s="236"/>
      <c r="ES4" s="236"/>
      <c r="ET4" s="236"/>
      <c r="EU4" s="236"/>
      <c r="EV4" s="236"/>
      <c r="EW4" s="236"/>
      <c r="EX4" s="236"/>
      <c r="EY4" s="236"/>
      <c r="EZ4" s="236"/>
      <c r="FA4" s="236"/>
      <c r="FB4" s="236"/>
      <c r="FC4" s="236"/>
      <c r="FD4" s="236"/>
      <c r="FE4" s="236"/>
      <c r="FF4" s="236"/>
      <c r="FG4" s="236"/>
      <c r="FH4" s="236"/>
      <c r="FI4" s="236"/>
      <c r="FJ4" s="236"/>
      <c r="FK4" s="236"/>
      <c r="FL4" s="236"/>
      <c r="FM4" s="236"/>
      <c r="FN4" s="236"/>
      <c r="FO4" s="236"/>
      <c r="FP4" s="236"/>
      <c r="FQ4" s="236"/>
      <c r="FR4" s="236"/>
      <c r="FS4" s="236"/>
      <c r="FT4" s="236"/>
      <c r="FU4" s="236"/>
      <c r="FV4" s="236"/>
      <c r="FW4" s="236"/>
      <c r="FX4" s="236"/>
      <c r="FY4" s="236"/>
      <c r="FZ4" s="236"/>
      <c r="GA4" s="236"/>
      <c r="GB4" s="236"/>
      <c r="GC4" s="236"/>
      <c r="GD4" s="236"/>
      <c r="GE4" s="236"/>
      <c r="GF4" s="236"/>
      <c r="GG4" s="236"/>
      <c r="GH4" s="236"/>
      <c r="GI4" s="236"/>
      <c r="GJ4" s="236"/>
      <c r="GK4" s="236"/>
      <c r="GL4" s="236"/>
      <c r="GM4" s="236"/>
      <c r="GN4" s="236"/>
      <c r="GO4" s="236"/>
      <c r="GP4" s="236"/>
      <c r="GQ4" s="236"/>
      <c r="GR4" s="236"/>
      <c r="GS4" s="236"/>
      <c r="GT4" s="236"/>
      <c r="GU4" s="236"/>
      <c r="GV4" s="236"/>
      <c r="GW4" s="236"/>
      <c r="GX4" s="236"/>
      <c r="GY4" s="236"/>
      <c r="GZ4" s="236"/>
      <c r="HA4" s="236"/>
      <c r="HB4" s="236"/>
      <c r="HC4" s="236"/>
      <c r="HD4" s="236"/>
      <c r="HE4" s="236"/>
      <c r="HF4" s="236"/>
      <c r="HG4" s="236"/>
      <c r="HH4" s="236"/>
      <c r="HI4" s="236"/>
      <c r="HJ4" s="236"/>
      <c r="HK4" s="236"/>
      <c r="HL4" s="236"/>
      <c r="HM4" s="236"/>
      <c r="HN4" s="236"/>
      <c r="HO4" s="236"/>
      <c r="HP4" s="236"/>
      <c r="HQ4" s="236"/>
      <c r="HR4" s="236"/>
      <c r="HS4" s="236"/>
      <c r="HT4" s="236"/>
      <c r="HU4" s="236"/>
      <c r="HV4" s="236"/>
      <c r="HW4" s="236"/>
      <c r="HX4" s="236"/>
      <c r="HY4" s="236"/>
      <c r="HZ4" s="236"/>
      <c r="IA4" s="236"/>
      <c r="IB4" s="236"/>
      <c r="IC4" s="236"/>
      <c r="ID4" s="236"/>
      <c r="IE4" s="236"/>
      <c r="IF4" s="236"/>
      <c r="IG4" s="236"/>
      <c r="IH4" s="236"/>
      <c r="II4" s="236"/>
      <c r="IJ4" s="236"/>
      <c r="IK4" s="236"/>
      <c r="IL4" s="236"/>
      <c r="IM4" s="236"/>
      <c r="IN4" s="236"/>
      <c r="IO4" s="236"/>
      <c r="IP4" s="236"/>
      <c r="IQ4" s="236"/>
      <c r="IR4" s="236"/>
      <c r="IS4" s="236"/>
      <c r="IT4" s="236"/>
      <c r="IU4" s="236"/>
      <c r="IV4" s="236"/>
    </row>
    <row r="5" spans="1:256" ht="12.75" customHeight="1">
      <c r="A5" s="1414" t="s">
        <v>225</v>
      </c>
      <c r="B5" s="1417" t="s">
        <v>226</v>
      </c>
      <c r="C5" s="237" t="s">
        <v>227</v>
      </c>
      <c r="D5" s="237" t="s">
        <v>228</v>
      </c>
      <c r="E5" s="237" t="s">
        <v>229</v>
      </c>
      <c r="F5" s="237" t="s">
        <v>195</v>
      </c>
      <c r="G5" s="238" t="s">
        <v>230</v>
      </c>
      <c r="H5" s="238" t="s">
        <v>230</v>
      </c>
      <c r="I5" s="237" t="s">
        <v>227</v>
      </c>
      <c r="J5" s="237" t="s">
        <v>228</v>
      </c>
      <c r="K5" s="237" t="s">
        <v>229</v>
      </c>
      <c r="L5" s="1420" t="s">
        <v>225</v>
      </c>
      <c r="M5" s="238" t="s">
        <v>230</v>
      </c>
      <c r="N5" s="239" t="s">
        <v>231</v>
      </c>
      <c r="O5" s="237" t="s">
        <v>232</v>
      </c>
      <c r="P5" s="238" t="s">
        <v>230</v>
      </c>
      <c r="Q5" s="238" t="s">
        <v>230</v>
      </c>
      <c r="R5" s="237" t="s">
        <v>217</v>
      </c>
      <c r="S5" s="237" t="s">
        <v>218</v>
      </c>
      <c r="T5" s="237" t="s">
        <v>219</v>
      </c>
      <c r="U5" s="237" t="s">
        <v>220</v>
      </c>
      <c r="V5" s="237" t="s">
        <v>221</v>
      </c>
      <c r="W5" s="240" t="s">
        <v>233</v>
      </c>
      <c r="X5" s="1405" t="s">
        <v>234</v>
      </c>
      <c r="Y5" s="1428" t="s">
        <v>235</v>
      </c>
      <c r="Z5" s="1405" t="s">
        <v>236</v>
      </c>
      <c r="AA5" s="241"/>
      <c r="AB5" s="241"/>
      <c r="AC5" s="241"/>
      <c r="AD5" s="241"/>
      <c r="AE5" s="241"/>
      <c r="AF5" s="241"/>
      <c r="AG5" s="1421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6"/>
      <c r="DS5" s="236"/>
      <c r="DT5" s="236"/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R5" s="236"/>
      <c r="ES5" s="236"/>
      <c r="ET5" s="236"/>
      <c r="EU5" s="236"/>
      <c r="EV5" s="236"/>
      <c r="EW5" s="236"/>
      <c r="EX5" s="236"/>
      <c r="EY5" s="236"/>
      <c r="EZ5" s="236"/>
      <c r="FA5" s="236"/>
      <c r="FB5" s="236"/>
      <c r="FC5" s="236"/>
      <c r="FD5" s="236"/>
      <c r="FE5" s="236"/>
      <c r="FF5" s="236"/>
      <c r="FG5" s="236"/>
      <c r="FH5" s="236"/>
      <c r="FI5" s="236"/>
      <c r="FJ5" s="236"/>
      <c r="FK5" s="236"/>
      <c r="FL5" s="236"/>
      <c r="FM5" s="236"/>
      <c r="FN5" s="236"/>
      <c r="FO5" s="236"/>
      <c r="FP5" s="236"/>
      <c r="FQ5" s="236"/>
      <c r="FR5" s="236"/>
      <c r="FS5" s="236"/>
      <c r="FT5" s="236"/>
      <c r="FU5" s="236"/>
      <c r="FV5" s="236"/>
      <c r="FW5" s="236"/>
      <c r="FX5" s="236"/>
      <c r="FY5" s="236"/>
      <c r="FZ5" s="236"/>
      <c r="GA5" s="236"/>
      <c r="GB5" s="236"/>
      <c r="GC5" s="236"/>
      <c r="GD5" s="236"/>
      <c r="GE5" s="236"/>
      <c r="GF5" s="236"/>
      <c r="GG5" s="236"/>
      <c r="GH5" s="236"/>
      <c r="GI5" s="236"/>
      <c r="GJ5" s="236"/>
      <c r="GK5" s="236"/>
      <c r="GL5" s="236"/>
      <c r="GM5" s="236"/>
      <c r="GN5" s="236"/>
      <c r="GO5" s="236"/>
      <c r="GP5" s="236"/>
      <c r="GQ5" s="236"/>
      <c r="GR5" s="236"/>
      <c r="GS5" s="236"/>
      <c r="GT5" s="236"/>
      <c r="GU5" s="236"/>
      <c r="GV5" s="236"/>
      <c r="GW5" s="236"/>
      <c r="GX5" s="236"/>
      <c r="GY5" s="236"/>
      <c r="GZ5" s="236"/>
      <c r="HA5" s="236"/>
      <c r="HB5" s="236"/>
      <c r="HC5" s="236"/>
      <c r="HD5" s="236"/>
      <c r="HE5" s="236"/>
      <c r="HF5" s="236"/>
      <c r="HG5" s="236"/>
      <c r="HH5" s="236"/>
      <c r="HI5" s="236"/>
      <c r="HJ5" s="236"/>
      <c r="HK5" s="236"/>
      <c r="HL5" s="236"/>
      <c r="HM5" s="236"/>
      <c r="HN5" s="236"/>
      <c r="HO5" s="236"/>
      <c r="HP5" s="236"/>
      <c r="HQ5" s="236"/>
      <c r="HR5" s="236"/>
      <c r="HS5" s="236"/>
      <c r="HT5" s="236"/>
      <c r="HU5" s="236"/>
      <c r="HV5" s="236"/>
      <c r="HW5" s="236"/>
      <c r="HX5" s="236"/>
      <c r="HY5" s="236"/>
      <c r="HZ5" s="236"/>
      <c r="IA5" s="236"/>
      <c r="IB5" s="236"/>
      <c r="IC5" s="236"/>
      <c r="ID5" s="236"/>
      <c r="IE5" s="236"/>
      <c r="IF5" s="236"/>
      <c r="IG5" s="236"/>
      <c r="IH5" s="236"/>
      <c r="II5" s="236"/>
      <c r="IJ5" s="236"/>
      <c r="IK5" s="236"/>
      <c r="IL5" s="236"/>
      <c r="IM5" s="236"/>
      <c r="IN5" s="236"/>
      <c r="IO5" s="236"/>
      <c r="IP5" s="236"/>
      <c r="IQ5" s="236"/>
      <c r="IR5" s="236"/>
      <c r="IS5" s="236"/>
      <c r="IT5" s="236"/>
      <c r="IU5" s="236"/>
      <c r="IV5" s="236"/>
    </row>
    <row r="6" spans="1:256" ht="16.5" customHeight="1">
      <c r="A6" s="1415"/>
      <c r="B6" s="1418"/>
      <c r="C6" s="1403" t="s">
        <v>237</v>
      </c>
      <c r="D6" s="1403" t="s">
        <v>238</v>
      </c>
      <c r="E6" s="1403" t="s">
        <v>239</v>
      </c>
      <c r="F6" s="1403" t="s">
        <v>240</v>
      </c>
      <c r="G6" s="1403" t="s">
        <v>241</v>
      </c>
      <c r="H6" s="1403" t="s">
        <v>242</v>
      </c>
      <c r="I6" s="1403" t="s">
        <v>237</v>
      </c>
      <c r="J6" s="1403" t="s">
        <v>238</v>
      </c>
      <c r="K6" s="1403" t="s">
        <v>239</v>
      </c>
      <c r="L6" s="1411"/>
      <c r="M6" s="1403" t="s">
        <v>241</v>
      </c>
      <c r="N6" s="1411" t="s">
        <v>243</v>
      </c>
      <c r="O6" s="1403" t="s">
        <v>244</v>
      </c>
      <c r="P6" s="1403" t="s">
        <v>245</v>
      </c>
      <c r="Q6" s="1403" t="s">
        <v>246</v>
      </c>
      <c r="R6" s="1403" t="s">
        <v>247</v>
      </c>
      <c r="S6" s="1403" t="s">
        <v>248</v>
      </c>
      <c r="T6" s="1403" t="s">
        <v>249</v>
      </c>
      <c r="U6" s="1403" t="s">
        <v>250</v>
      </c>
      <c r="V6" s="1403" t="s">
        <v>251</v>
      </c>
      <c r="W6" s="1409" t="s">
        <v>252</v>
      </c>
      <c r="X6" s="1406"/>
      <c r="Y6" s="1429"/>
      <c r="Z6" s="1406"/>
      <c r="AA6" s="1408"/>
      <c r="AB6" s="1408"/>
      <c r="AC6" s="1408"/>
      <c r="AD6" s="1408"/>
      <c r="AE6" s="1408"/>
      <c r="AF6" s="1408"/>
      <c r="AG6" s="1421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36"/>
      <c r="DE6" s="236"/>
      <c r="DF6" s="236"/>
      <c r="DG6" s="236"/>
      <c r="DH6" s="236"/>
      <c r="DI6" s="236"/>
      <c r="DJ6" s="236"/>
      <c r="DK6" s="236"/>
      <c r="DL6" s="236"/>
      <c r="DM6" s="236"/>
      <c r="DN6" s="236"/>
      <c r="DO6" s="236"/>
      <c r="DP6" s="236"/>
      <c r="DQ6" s="236"/>
      <c r="DR6" s="236"/>
      <c r="DS6" s="236"/>
      <c r="DT6" s="236"/>
      <c r="DU6" s="236"/>
      <c r="DV6" s="236"/>
      <c r="DW6" s="236"/>
      <c r="DX6" s="236"/>
      <c r="DY6" s="236"/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J6" s="236"/>
      <c r="EK6" s="236"/>
      <c r="EL6" s="236"/>
      <c r="EM6" s="236"/>
      <c r="EN6" s="236"/>
      <c r="EO6" s="236"/>
      <c r="EP6" s="236"/>
      <c r="EQ6" s="236"/>
      <c r="ER6" s="236"/>
      <c r="ES6" s="236"/>
      <c r="ET6" s="236"/>
      <c r="EU6" s="236"/>
      <c r="EV6" s="236"/>
      <c r="EW6" s="236"/>
      <c r="EX6" s="236"/>
      <c r="EY6" s="236"/>
      <c r="EZ6" s="236"/>
      <c r="FA6" s="236"/>
      <c r="FB6" s="236"/>
      <c r="FC6" s="236"/>
      <c r="FD6" s="236"/>
      <c r="FE6" s="236"/>
      <c r="FF6" s="236"/>
      <c r="FG6" s="236"/>
      <c r="FH6" s="236"/>
      <c r="FI6" s="236"/>
      <c r="FJ6" s="236"/>
      <c r="FK6" s="236"/>
      <c r="FL6" s="236"/>
      <c r="FM6" s="236"/>
      <c r="FN6" s="236"/>
      <c r="FO6" s="236"/>
      <c r="FP6" s="236"/>
      <c r="FQ6" s="236"/>
      <c r="FR6" s="236"/>
      <c r="FS6" s="236"/>
      <c r="FT6" s="236"/>
      <c r="FU6" s="236"/>
      <c r="FV6" s="236"/>
      <c r="FW6" s="236"/>
      <c r="FX6" s="236"/>
      <c r="FY6" s="236"/>
      <c r="FZ6" s="236"/>
      <c r="GA6" s="236"/>
      <c r="GB6" s="236"/>
      <c r="GC6" s="236"/>
      <c r="GD6" s="236"/>
      <c r="GE6" s="236"/>
      <c r="GF6" s="236"/>
      <c r="GG6" s="236"/>
      <c r="GH6" s="236"/>
      <c r="GI6" s="236"/>
      <c r="GJ6" s="236"/>
      <c r="GK6" s="236"/>
      <c r="GL6" s="236"/>
      <c r="GM6" s="236"/>
      <c r="GN6" s="236"/>
      <c r="GO6" s="236"/>
      <c r="GP6" s="236"/>
      <c r="GQ6" s="236"/>
      <c r="GR6" s="236"/>
      <c r="GS6" s="236"/>
      <c r="GT6" s="236"/>
      <c r="GU6" s="236"/>
      <c r="GV6" s="236"/>
      <c r="GW6" s="236"/>
      <c r="GX6" s="236"/>
      <c r="GY6" s="236"/>
      <c r="GZ6" s="236"/>
      <c r="HA6" s="236"/>
      <c r="HB6" s="236"/>
      <c r="HC6" s="236"/>
      <c r="HD6" s="236"/>
      <c r="HE6" s="236"/>
      <c r="HF6" s="236"/>
      <c r="HG6" s="236"/>
      <c r="HH6" s="236"/>
      <c r="HI6" s="236"/>
      <c r="HJ6" s="236"/>
      <c r="HK6" s="236"/>
      <c r="HL6" s="236"/>
      <c r="HM6" s="236"/>
      <c r="HN6" s="236"/>
      <c r="HO6" s="236"/>
      <c r="HP6" s="236"/>
      <c r="HQ6" s="236"/>
      <c r="HR6" s="236"/>
      <c r="HS6" s="236"/>
      <c r="HT6" s="236"/>
      <c r="HU6" s="236"/>
      <c r="HV6" s="236"/>
      <c r="HW6" s="236"/>
      <c r="HX6" s="236"/>
      <c r="HY6" s="236"/>
      <c r="HZ6" s="236"/>
      <c r="IA6" s="236"/>
      <c r="IB6" s="236"/>
      <c r="IC6" s="236"/>
      <c r="ID6" s="236"/>
      <c r="IE6" s="236"/>
      <c r="IF6" s="236"/>
      <c r="IG6" s="236"/>
      <c r="IH6" s="236"/>
      <c r="II6" s="236"/>
      <c r="IJ6" s="236"/>
      <c r="IK6" s="236"/>
      <c r="IL6" s="236"/>
      <c r="IM6" s="236"/>
      <c r="IN6" s="236"/>
      <c r="IO6" s="236"/>
      <c r="IP6" s="236"/>
      <c r="IQ6" s="236"/>
      <c r="IR6" s="236"/>
      <c r="IS6" s="236"/>
      <c r="IT6" s="236"/>
      <c r="IU6" s="236"/>
      <c r="IV6" s="236"/>
    </row>
    <row r="7" spans="1:256" ht="12.75" customHeight="1">
      <c r="A7" s="1415"/>
      <c r="B7" s="1418"/>
      <c r="C7" s="1403"/>
      <c r="D7" s="1403"/>
      <c r="E7" s="1403"/>
      <c r="F7" s="1403"/>
      <c r="G7" s="1403"/>
      <c r="H7" s="1403"/>
      <c r="I7" s="1403"/>
      <c r="J7" s="1403"/>
      <c r="K7" s="1403"/>
      <c r="L7" s="1411"/>
      <c r="M7" s="1403"/>
      <c r="N7" s="1411"/>
      <c r="O7" s="1403"/>
      <c r="P7" s="1403"/>
      <c r="Q7" s="1403"/>
      <c r="R7" s="1403"/>
      <c r="S7" s="1403"/>
      <c r="T7" s="1403"/>
      <c r="U7" s="1403"/>
      <c r="V7" s="1403"/>
      <c r="W7" s="1409"/>
      <c r="X7" s="1406"/>
      <c r="Y7" s="1429"/>
      <c r="Z7" s="1406"/>
      <c r="AA7" s="1408"/>
      <c r="AB7" s="1408"/>
      <c r="AC7" s="1408"/>
      <c r="AD7" s="1408"/>
      <c r="AE7" s="1408"/>
      <c r="AF7" s="1408"/>
      <c r="AG7" s="1421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6"/>
      <c r="DG7" s="236"/>
      <c r="DH7" s="236"/>
      <c r="DI7" s="236"/>
      <c r="DJ7" s="236"/>
      <c r="DK7" s="236"/>
      <c r="DL7" s="236"/>
      <c r="DM7" s="236"/>
      <c r="DN7" s="236"/>
      <c r="DO7" s="236"/>
      <c r="DP7" s="236"/>
      <c r="DQ7" s="236"/>
      <c r="DR7" s="236"/>
      <c r="DS7" s="236"/>
      <c r="DT7" s="236"/>
      <c r="DU7" s="236"/>
      <c r="DV7" s="236"/>
      <c r="DW7" s="236"/>
      <c r="DX7" s="236"/>
      <c r="DY7" s="236"/>
      <c r="DZ7" s="236"/>
      <c r="EA7" s="236"/>
      <c r="EB7" s="236"/>
      <c r="EC7" s="236"/>
      <c r="ED7" s="236"/>
      <c r="EE7" s="236"/>
      <c r="EF7" s="236"/>
      <c r="EG7" s="236"/>
      <c r="EH7" s="236"/>
      <c r="EI7" s="236"/>
      <c r="EJ7" s="236"/>
      <c r="EK7" s="236"/>
      <c r="EL7" s="236"/>
      <c r="EM7" s="236"/>
      <c r="EN7" s="236"/>
      <c r="EO7" s="236"/>
      <c r="EP7" s="236"/>
      <c r="EQ7" s="236"/>
      <c r="ER7" s="236"/>
      <c r="ES7" s="236"/>
      <c r="ET7" s="236"/>
      <c r="EU7" s="236"/>
      <c r="EV7" s="236"/>
      <c r="EW7" s="236"/>
      <c r="EX7" s="236"/>
      <c r="EY7" s="236"/>
      <c r="EZ7" s="236"/>
      <c r="FA7" s="236"/>
      <c r="FB7" s="236"/>
      <c r="FC7" s="236"/>
      <c r="FD7" s="236"/>
      <c r="FE7" s="236"/>
      <c r="FF7" s="236"/>
      <c r="FG7" s="236"/>
      <c r="FH7" s="236"/>
      <c r="FI7" s="236"/>
      <c r="FJ7" s="236"/>
      <c r="FK7" s="236"/>
      <c r="FL7" s="236"/>
      <c r="FM7" s="236"/>
      <c r="FN7" s="236"/>
      <c r="FO7" s="236"/>
      <c r="FP7" s="236"/>
      <c r="FQ7" s="236"/>
      <c r="FR7" s="236"/>
      <c r="FS7" s="236"/>
      <c r="FT7" s="236"/>
      <c r="FU7" s="236"/>
      <c r="FV7" s="236"/>
      <c r="FW7" s="236"/>
      <c r="FX7" s="236"/>
      <c r="FY7" s="236"/>
      <c r="FZ7" s="236"/>
      <c r="GA7" s="236"/>
      <c r="GB7" s="236"/>
      <c r="GC7" s="236"/>
      <c r="GD7" s="236"/>
      <c r="GE7" s="236"/>
      <c r="GF7" s="236"/>
      <c r="GG7" s="236"/>
      <c r="GH7" s="236"/>
      <c r="GI7" s="236"/>
      <c r="GJ7" s="236"/>
      <c r="GK7" s="236"/>
      <c r="GL7" s="236"/>
      <c r="GM7" s="236"/>
      <c r="GN7" s="236"/>
      <c r="GO7" s="236"/>
      <c r="GP7" s="236"/>
      <c r="GQ7" s="236"/>
      <c r="GR7" s="236"/>
      <c r="GS7" s="236"/>
      <c r="GT7" s="236"/>
      <c r="GU7" s="236"/>
      <c r="GV7" s="236"/>
      <c r="GW7" s="236"/>
      <c r="GX7" s="236"/>
      <c r="GY7" s="236"/>
      <c r="GZ7" s="236"/>
      <c r="HA7" s="236"/>
      <c r="HB7" s="236"/>
      <c r="HC7" s="236"/>
      <c r="HD7" s="236"/>
      <c r="HE7" s="236"/>
      <c r="HF7" s="236"/>
      <c r="HG7" s="236"/>
      <c r="HH7" s="236"/>
      <c r="HI7" s="236"/>
      <c r="HJ7" s="236"/>
      <c r="HK7" s="236"/>
      <c r="HL7" s="236"/>
      <c r="HM7" s="236"/>
      <c r="HN7" s="236"/>
      <c r="HO7" s="236"/>
      <c r="HP7" s="236"/>
      <c r="HQ7" s="236"/>
      <c r="HR7" s="236"/>
      <c r="HS7" s="236"/>
      <c r="HT7" s="236"/>
      <c r="HU7" s="236"/>
      <c r="HV7" s="236"/>
      <c r="HW7" s="236"/>
      <c r="HX7" s="236"/>
      <c r="HY7" s="236"/>
      <c r="HZ7" s="236"/>
      <c r="IA7" s="236"/>
      <c r="IB7" s="236"/>
      <c r="IC7" s="236"/>
      <c r="ID7" s="236"/>
      <c r="IE7" s="236"/>
      <c r="IF7" s="236"/>
      <c r="IG7" s="236"/>
      <c r="IH7" s="236"/>
      <c r="II7" s="236"/>
      <c r="IJ7" s="236"/>
      <c r="IK7" s="236"/>
      <c r="IL7" s="236"/>
      <c r="IM7" s="236"/>
      <c r="IN7" s="236"/>
      <c r="IO7" s="236"/>
      <c r="IP7" s="236"/>
      <c r="IQ7" s="236"/>
      <c r="IR7" s="236"/>
      <c r="IS7" s="236"/>
      <c r="IT7" s="236"/>
      <c r="IU7" s="236"/>
      <c r="IV7" s="236"/>
    </row>
    <row r="8" spans="1:256" ht="57" customHeight="1" thickBot="1">
      <c r="A8" s="1416"/>
      <c r="B8" s="1419"/>
      <c r="C8" s="1404"/>
      <c r="D8" s="1404"/>
      <c r="E8" s="1404"/>
      <c r="F8" s="1404"/>
      <c r="G8" s="1404"/>
      <c r="H8" s="1404"/>
      <c r="I8" s="1404"/>
      <c r="J8" s="1404"/>
      <c r="K8" s="1404"/>
      <c r="L8" s="1412"/>
      <c r="M8" s="1404"/>
      <c r="N8" s="1412"/>
      <c r="O8" s="1404"/>
      <c r="P8" s="1404"/>
      <c r="Q8" s="1404"/>
      <c r="R8" s="1404"/>
      <c r="S8" s="1404"/>
      <c r="T8" s="1404"/>
      <c r="U8" s="1404"/>
      <c r="V8" s="1404"/>
      <c r="W8" s="1410"/>
      <c r="X8" s="1407"/>
      <c r="Y8" s="1430"/>
      <c r="Z8" s="1407"/>
      <c r="AA8" s="1408"/>
      <c r="AB8" s="1408"/>
      <c r="AC8" s="1408"/>
      <c r="AD8" s="1408"/>
      <c r="AE8" s="1408"/>
      <c r="AF8" s="1408"/>
      <c r="AG8" s="1421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6"/>
      <c r="DM8" s="236"/>
      <c r="DN8" s="236"/>
      <c r="DO8" s="236"/>
      <c r="DP8" s="236"/>
      <c r="DQ8" s="236"/>
      <c r="DR8" s="236"/>
      <c r="DS8" s="236"/>
      <c r="DT8" s="236"/>
      <c r="DU8" s="236"/>
      <c r="DV8" s="236"/>
      <c r="DW8" s="236"/>
      <c r="DX8" s="236"/>
      <c r="DY8" s="236"/>
      <c r="DZ8" s="236"/>
      <c r="EA8" s="236"/>
      <c r="EB8" s="236"/>
      <c r="EC8" s="236"/>
      <c r="ED8" s="236"/>
      <c r="EE8" s="236"/>
      <c r="EF8" s="236"/>
      <c r="EG8" s="236"/>
      <c r="EH8" s="236"/>
      <c r="EI8" s="236"/>
      <c r="EJ8" s="236"/>
      <c r="EK8" s="236"/>
      <c r="EL8" s="236"/>
      <c r="EM8" s="236"/>
      <c r="EN8" s="236"/>
      <c r="EO8" s="236"/>
      <c r="EP8" s="236"/>
      <c r="EQ8" s="236"/>
      <c r="ER8" s="236"/>
      <c r="ES8" s="236"/>
      <c r="ET8" s="236"/>
      <c r="EU8" s="236"/>
      <c r="EV8" s="236"/>
      <c r="EW8" s="236"/>
      <c r="EX8" s="236"/>
      <c r="EY8" s="236"/>
      <c r="EZ8" s="236"/>
      <c r="FA8" s="236"/>
      <c r="FB8" s="236"/>
      <c r="FC8" s="236"/>
      <c r="FD8" s="236"/>
      <c r="FE8" s="236"/>
      <c r="FF8" s="236"/>
      <c r="FG8" s="236"/>
      <c r="FH8" s="236"/>
      <c r="FI8" s="236"/>
      <c r="FJ8" s="236"/>
      <c r="FK8" s="236"/>
      <c r="FL8" s="236"/>
      <c r="FM8" s="236"/>
      <c r="FN8" s="236"/>
      <c r="FO8" s="236"/>
      <c r="FP8" s="236"/>
      <c r="FQ8" s="236"/>
      <c r="FR8" s="236"/>
      <c r="FS8" s="236"/>
      <c r="FT8" s="236"/>
      <c r="FU8" s="236"/>
      <c r="FV8" s="236"/>
      <c r="FW8" s="236"/>
      <c r="FX8" s="236"/>
      <c r="FY8" s="236"/>
      <c r="FZ8" s="236"/>
      <c r="GA8" s="236"/>
      <c r="GB8" s="236"/>
      <c r="GC8" s="236"/>
      <c r="GD8" s="236"/>
      <c r="GE8" s="236"/>
      <c r="GF8" s="236"/>
      <c r="GG8" s="236"/>
      <c r="GH8" s="236"/>
      <c r="GI8" s="236"/>
      <c r="GJ8" s="236"/>
      <c r="GK8" s="236"/>
      <c r="GL8" s="236"/>
      <c r="GM8" s="236"/>
      <c r="GN8" s="236"/>
      <c r="GO8" s="236"/>
      <c r="GP8" s="236"/>
      <c r="GQ8" s="236"/>
      <c r="GR8" s="236"/>
      <c r="GS8" s="236"/>
      <c r="GT8" s="236"/>
      <c r="GU8" s="236"/>
      <c r="GV8" s="236"/>
      <c r="GW8" s="236"/>
      <c r="GX8" s="236"/>
      <c r="GY8" s="236"/>
      <c r="GZ8" s="236"/>
      <c r="HA8" s="236"/>
      <c r="HB8" s="236"/>
      <c r="HC8" s="236"/>
      <c r="HD8" s="236"/>
      <c r="HE8" s="236"/>
      <c r="HF8" s="236"/>
      <c r="HG8" s="236"/>
      <c r="HH8" s="236"/>
      <c r="HI8" s="236"/>
      <c r="HJ8" s="236"/>
      <c r="HK8" s="236"/>
      <c r="HL8" s="236"/>
      <c r="HM8" s="236"/>
      <c r="HN8" s="236"/>
      <c r="HO8" s="236"/>
      <c r="HP8" s="236"/>
      <c r="HQ8" s="236"/>
      <c r="HR8" s="236"/>
      <c r="HS8" s="236"/>
      <c r="HT8" s="236"/>
      <c r="HU8" s="236"/>
      <c r="HV8" s="236"/>
      <c r="HW8" s="236"/>
      <c r="HX8" s="236"/>
      <c r="HY8" s="236"/>
      <c r="HZ8" s="236"/>
      <c r="IA8" s="236"/>
      <c r="IB8" s="236"/>
      <c r="IC8" s="236"/>
      <c r="ID8" s="236"/>
      <c r="IE8" s="236"/>
      <c r="IF8" s="236"/>
      <c r="IG8" s="236"/>
      <c r="IH8" s="236"/>
      <c r="II8" s="236"/>
      <c r="IJ8" s="236"/>
      <c r="IK8" s="236"/>
      <c r="IL8" s="236"/>
      <c r="IM8" s="236"/>
      <c r="IN8" s="236"/>
      <c r="IO8" s="236"/>
      <c r="IP8" s="236"/>
      <c r="IQ8" s="236"/>
      <c r="IR8" s="236"/>
      <c r="IS8" s="236"/>
      <c r="IT8" s="236"/>
      <c r="IU8" s="236"/>
      <c r="IV8" s="236"/>
    </row>
    <row r="9" spans="1:256" ht="16.5">
      <c r="A9" s="1427" t="s">
        <v>180</v>
      </c>
      <c r="B9" s="242" t="s">
        <v>253</v>
      </c>
      <c r="C9" s="243">
        <f>ROUND(8399*1.05*1.05*1.05,0)</f>
        <v>9723</v>
      </c>
      <c r="D9" s="243">
        <f>C9*3.666667</f>
        <v>35651.003241</v>
      </c>
      <c r="E9" s="243">
        <f aca="true" t="shared" si="0" ref="E9:E14">(C9+D9)*1.5</f>
        <v>68061.0048615</v>
      </c>
      <c r="F9" s="244">
        <v>1</v>
      </c>
      <c r="G9" s="243">
        <f aca="true" t="shared" si="1" ref="G9:G14">(C9+D9+E9)*F9</f>
        <v>113435.0081025</v>
      </c>
      <c r="H9" s="243">
        <f aca="true" t="shared" si="2" ref="H9:H14">G9*12</f>
        <v>1361220.09723</v>
      </c>
      <c r="I9" s="243"/>
      <c r="J9" s="243"/>
      <c r="K9" s="243">
        <f aca="true" t="shared" si="3" ref="K9:K14">(I9+J9)*1.5</f>
        <v>0</v>
      </c>
      <c r="L9" s="1425" t="s">
        <v>180</v>
      </c>
      <c r="M9" s="243">
        <f aca="true" t="shared" si="4" ref="M9:M14">(J9+K9+I9)*F9</f>
        <v>0</v>
      </c>
      <c r="N9" s="245">
        <f aca="true" t="shared" si="5" ref="N9:N14">M9*3</f>
        <v>0</v>
      </c>
      <c r="O9" s="243">
        <f>H9*0.28</f>
        <v>381141.6272244</v>
      </c>
      <c r="P9" s="243">
        <f aca="true" t="shared" si="6" ref="P9:P14">O9+H9</f>
        <v>1742361.7244544</v>
      </c>
      <c r="Q9" s="246"/>
      <c r="R9" s="246"/>
      <c r="S9" s="246"/>
      <c r="T9" s="247"/>
      <c r="U9" s="247"/>
      <c r="V9" s="247"/>
      <c r="W9" s="248"/>
      <c r="X9" s="249"/>
      <c r="Y9" s="250"/>
      <c r="Z9" s="249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/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/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/>
      <c r="GC9" s="236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GR9" s="236"/>
      <c r="GS9" s="236"/>
      <c r="GT9" s="236"/>
      <c r="GU9" s="236"/>
      <c r="GV9" s="236"/>
      <c r="GW9" s="236"/>
      <c r="GX9" s="236"/>
      <c r="GY9" s="236"/>
      <c r="GZ9" s="236"/>
      <c r="HA9" s="236"/>
      <c r="HB9" s="236"/>
      <c r="HC9" s="236"/>
      <c r="HD9" s="236"/>
      <c r="HE9" s="236"/>
      <c r="HF9" s="236"/>
      <c r="HG9" s="236"/>
      <c r="HH9" s="236"/>
      <c r="HI9" s="236"/>
      <c r="HJ9" s="236"/>
      <c r="HK9" s="236"/>
      <c r="HL9" s="236"/>
      <c r="HM9" s="236"/>
      <c r="HN9" s="236"/>
      <c r="HO9" s="236"/>
      <c r="HP9" s="236"/>
      <c r="HQ9" s="236"/>
      <c r="HR9" s="236"/>
      <c r="HS9" s="236"/>
      <c r="HT9" s="236"/>
      <c r="HU9" s="236"/>
      <c r="HV9" s="236"/>
      <c r="HW9" s="236"/>
      <c r="HX9" s="236"/>
      <c r="HY9" s="236"/>
      <c r="HZ9" s="236"/>
      <c r="IA9" s="236"/>
      <c r="IB9" s="236"/>
      <c r="IC9" s="236"/>
      <c r="ID9" s="236"/>
      <c r="IE9" s="236"/>
      <c r="IF9" s="236"/>
      <c r="IG9" s="236"/>
      <c r="IH9" s="236"/>
      <c r="II9" s="236"/>
      <c r="IJ9" s="236"/>
      <c r="IK9" s="236"/>
      <c r="IL9" s="236"/>
      <c r="IM9" s="236"/>
      <c r="IN9" s="236"/>
      <c r="IO9" s="236"/>
      <c r="IP9" s="236"/>
      <c r="IQ9" s="236"/>
      <c r="IR9" s="236"/>
      <c r="IS9" s="236"/>
      <c r="IT9" s="236"/>
      <c r="IU9" s="236"/>
      <c r="IV9" s="236"/>
    </row>
    <row r="10" spans="1:256" ht="16.5">
      <c r="A10" s="1427"/>
      <c r="B10" s="251" t="s">
        <v>254</v>
      </c>
      <c r="C10" s="252">
        <f>ROUND(5478*1.05*1.05*1.05,0)</f>
        <v>6341</v>
      </c>
      <c r="D10" s="252">
        <f>C10*3.666667</f>
        <v>23250.335446999998</v>
      </c>
      <c r="E10" s="252">
        <f t="shared" si="0"/>
        <v>44387.0031705</v>
      </c>
      <c r="F10" s="253">
        <v>1</v>
      </c>
      <c r="G10" s="252">
        <f t="shared" si="1"/>
        <v>73978.3386175</v>
      </c>
      <c r="H10" s="252">
        <f t="shared" si="2"/>
        <v>887740.0634100001</v>
      </c>
      <c r="I10" s="252"/>
      <c r="J10" s="252"/>
      <c r="K10" s="252">
        <f t="shared" si="3"/>
        <v>0</v>
      </c>
      <c r="L10" s="1425"/>
      <c r="M10" s="252">
        <f t="shared" si="4"/>
        <v>0</v>
      </c>
      <c r="N10" s="254">
        <f t="shared" si="5"/>
        <v>0</v>
      </c>
      <c r="O10" s="252">
        <f>H10*0.28</f>
        <v>248567.21775480005</v>
      </c>
      <c r="P10" s="252">
        <f t="shared" si="6"/>
        <v>1136307.2811648</v>
      </c>
      <c r="Q10" s="255"/>
      <c r="R10" s="255"/>
      <c r="S10" s="255"/>
      <c r="T10" s="256"/>
      <c r="U10" s="256"/>
      <c r="V10" s="256"/>
      <c r="W10" s="257"/>
      <c r="X10" s="258"/>
      <c r="Y10" s="259"/>
      <c r="Z10" s="258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/>
      <c r="DM10" s="236"/>
      <c r="DN10" s="236"/>
      <c r="DO10" s="236"/>
      <c r="DP10" s="236"/>
      <c r="DQ10" s="236"/>
      <c r="DR10" s="236"/>
      <c r="DS10" s="236"/>
      <c r="DT10" s="236"/>
      <c r="DU10" s="236"/>
      <c r="DV10" s="236"/>
      <c r="DW10" s="236"/>
      <c r="DX10" s="236"/>
      <c r="DY10" s="236"/>
      <c r="DZ10" s="236"/>
      <c r="EA10" s="236"/>
      <c r="EB10" s="236"/>
      <c r="EC10" s="236"/>
      <c r="ED10" s="236"/>
      <c r="EE10" s="236"/>
      <c r="EF10" s="236"/>
      <c r="EG10" s="236"/>
      <c r="EH10" s="236"/>
      <c r="EI10" s="236"/>
      <c r="EJ10" s="236"/>
      <c r="EK10" s="236"/>
      <c r="EL10" s="236"/>
      <c r="EM10" s="236"/>
      <c r="EN10" s="236"/>
      <c r="EO10" s="236"/>
      <c r="EP10" s="236"/>
      <c r="EQ10" s="236"/>
      <c r="ER10" s="236"/>
      <c r="ES10" s="236"/>
      <c r="ET10" s="236"/>
      <c r="EU10" s="236"/>
      <c r="EV10" s="236"/>
      <c r="EW10" s="236"/>
      <c r="EX10" s="236"/>
      <c r="EY10" s="236"/>
      <c r="EZ10" s="236"/>
      <c r="FA10" s="236"/>
      <c r="FB10" s="236"/>
      <c r="FC10" s="236"/>
      <c r="FD10" s="236"/>
      <c r="FE10" s="236"/>
      <c r="FF10" s="236"/>
      <c r="FG10" s="236"/>
      <c r="FH10" s="236"/>
      <c r="FI10" s="236"/>
      <c r="FJ10" s="236"/>
      <c r="FK10" s="236"/>
      <c r="FL10" s="236"/>
      <c r="FM10" s="236"/>
      <c r="FN10" s="236"/>
      <c r="FO10" s="236"/>
      <c r="FP10" s="236"/>
      <c r="FQ10" s="236"/>
      <c r="FR10" s="236"/>
      <c r="FS10" s="236"/>
      <c r="FT10" s="236"/>
      <c r="FU10" s="236"/>
      <c r="FV10" s="236"/>
      <c r="FW10" s="236"/>
      <c r="FX10" s="236"/>
      <c r="FY10" s="236"/>
      <c r="FZ10" s="236"/>
      <c r="GA10" s="236"/>
      <c r="GB10" s="236"/>
      <c r="GC10" s="236"/>
      <c r="GD10" s="236"/>
      <c r="GE10" s="236"/>
      <c r="GF10" s="236"/>
      <c r="GG10" s="236"/>
      <c r="GH10" s="236"/>
      <c r="GI10" s="236"/>
      <c r="GJ10" s="236"/>
      <c r="GK10" s="236"/>
      <c r="GL10" s="236"/>
      <c r="GM10" s="236"/>
      <c r="GN10" s="236"/>
      <c r="GO10" s="236"/>
      <c r="GP10" s="236"/>
      <c r="GQ10" s="236"/>
      <c r="GR10" s="236"/>
      <c r="GS10" s="236"/>
      <c r="GT10" s="236"/>
      <c r="GU10" s="236"/>
      <c r="GV10" s="236"/>
      <c r="GW10" s="236"/>
      <c r="GX10" s="236"/>
      <c r="GY10" s="236"/>
      <c r="GZ10" s="236"/>
      <c r="HA10" s="236"/>
      <c r="HB10" s="236"/>
      <c r="HC10" s="236"/>
      <c r="HD10" s="236"/>
      <c r="HE10" s="236"/>
      <c r="HF10" s="236"/>
      <c r="HG10" s="236"/>
      <c r="HH10" s="236"/>
      <c r="HI10" s="236"/>
      <c r="HJ10" s="236"/>
      <c r="HK10" s="236"/>
      <c r="HL10" s="236"/>
      <c r="HM10" s="236"/>
      <c r="HN10" s="236"/>
      <c r="HO10" s="236"/>
      <c r="HP10" s="236"/>
      <c r="HQ10" s="236"/>
      <c r="HR10" s="236"/>
      <c r="HS10" s="236"/>
      <c r="HT10" s="236"/>
      <c r="HU10" s="236"/>
      <c r="HV10" s="236"/>
      <c r="HW10" s="236"/>
      <c r="HX10" s="236"/>
      <c r="HY10" s="236"/>
      <c r="HZ10" s="236"/>
      <c r="IA10" s="236"/>
      <c r="IB10" s="236"/>
      <c r="IC10" s="236"/>
      <c r="ID10" s="236"/>
      <c r="IE10" s="236"/>
      <c r="IF10" s="236"/>
      <c r="IG10" s="236"/>
      <c r="IH10" s="236"/>
      <c r="II10" s="236"/>
      <c r="IJ10" s="236"/>
      <c r="IK10" s="236"/>
      <c r="IL10" s="236"/>
      <c r="IM10" s="236"/>
      <c r="IN10" s="236"/>
      <c r="IO10" s="236"/>
      <c r="IP10" s="236"/>
      <c r="IQ10" s="236"/>
      <c r="IR10" s="236"/>
      <c r="IS10" s="236"/>
      <c r="IT10" s="236"/>
      <c r="IU10" s="236"/>
      <c r="IV10" s="236"/>
    </row>
    <row r="11" spans="1:256" ht="16.5">
      <c r="A11" s="1427"/>
      <c r="B11" s="251" t="s">
        <v>255</v>
      </c>
      <c r="C11" s="252">
        <f>ROUND(5015*1.05*1.05*1.05,0)</f>
        <v>5805</v>
      </c>
      <c r="D11" s="252">
        <f>C11*3.666667</f>
        <v>21285.001935</v>
      </c>
      <c r="E11" s="252">
        <f t="shared" si="0"/>
        <v>40635.0029025</v>
      </c>
      <c r="F11" s="253">
        <f>4+2</f>
        <v>6</v>
      </c>
      <c r="G11" s="252">
        <f t="shared" si="1"/>
        <v>406350.02902499994</v>
      </c>
      <c r="H11" s="252">
        <f t="shared" si="2"/>
        <v>4876200.348299999</v>
      </c>
      <c r="I11" s="252"/>
      <c r="J11" s="252"/>
      <c r="K11" s="252">
        <f t="shared" si="3"/>
        <v>0</v>
      </c>
      <c r="L11" s="1425"/>
      <c r="M11" s="252">
        <f t="shared" si="4"/>
        <v>0</v>
      </c>
      <c r="N11" s="254">
        <f t="shared" si="5"/>
        <v>0</v>
      </c>
      <c r="O11" s="252">
        <f>H11*0.28</f>
        <v>1365336.0975239999</v>
      </c>
      <c r="P11" s="252">
        <f t="shared" si="6"/>
        <v>6241536.445823999</v>
      </c>
      <c r="Q11" s="255"/>
      <c r="R11" s="255"/>
      <c r="S11" s="255"/>
      <c r="T11" s="256"/>
      <c r="U11" s="256"/>
      <c r="V11" s="256"/>
      <c r="W11" s="257"/>
      <c r="X11" s="258"/>
      <c r="Y11" s="259"/>
      <c r="Z11" s="258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6"/>
      <c r="DN11" s="236"/>
      <c r="DO11" s="236"/>
      <c r="DP11" s="236"/>
      <c r="DQ11" s="236"/>
      <c r="DR11" s="236"/>
      <c r="DS11" s="236"/>
      <c r="DT11" s="236"/>
      <c r="DU11" s="236"/>
      <c r="DV11" s="236"/>
      <c r="DW11" s="236"/>
      <c r="DX11" s="236"/>
      <c r="DY11" s="236"/>
      <c r="DZ11" s="236"/>
      <c r="EA11" s="236"/>
      <c r="EB11" s="236"/>
      <c r="EC11" s="236"/>
      <c r="ED11" s="236"/>
      <c r="EE11" s="236"/>
      <c r="EF11" s="236"/>
      <c r="EG11" s="236"/>
      <c r="EH11" s="236"/>
      <c r="EI11" s="236"/>
      <c r="EJ11" s="236"/>
      <c r="EK11" s="236"/>
      <c r="EL11" s="236"/>
      <c r="EM11" s="236"/>
      <c r="EN11" s="236"/>
      <c r="EO11" s="236"/>
      <c r="EP11" s="236"/>
      <c r="EQ11" s="236"/>
      <c r="ER11" s="236"/>
      <c r="ES11" s="236"/>
      <c r="ET11" s="236"/>
      <c r="EU11" s="236"/>
      <c r="EV11" s="236"/>
      <c r="EW11" s="236"/>
      <c r="EX11" s="236"/>
      <c r="EY11" s="236"/>
      <c r="EZ11" s="236"/>
      <c r="FA11" s="236"/>
      <c r="FB11" s="236"/>
      <c r="FC11" s="236"/>
      <c r="FD11" s="236"/>
      <c r="FE11" s="236"/>
      <c r="FF11" s="236"/>
      <c r="FG11" s="236"/>
      <c r="FH11" s="236"/>
      <c r="FI11" s="236"/>
      <c r="FJ11" s="236"/>
      <c r="FK11" s="236"/>
      <c r="FL11" s="236"/>
      <c r="FM11" s="236"/>
      <c r="FN11" s="236"/>
      <c r="FO11" s="236"/>
      <c r="FP11" s="236"/>
      <c r="FQ11" s="236"/>
      <c r="FR11" s="236"/>
      <c r="FS11" s="236"/>
      <c r="FT11" s="236"/>
      <c r="FU11" s="236"/>
      <c r="FV11" s="236"/>
      <c r="FW11" s="236"/>
      <c r="FX11" s="236"/>
      <c r="FY11" s="236"/>
      <c r="FZ11" s="236"/>
      <c r="GA11" s="236"/>
      <c r="GB11" s="236"/>
      <c r="GC11" s="236"/>
      <c r="GD11" s="236"/>
      <c r="GE11" s="236"/>
      <c r="GF11" s="236"/>
      <c r="GG11" s="236"/>
      <c r="GH11" s="236"/>
      <c r="GI11" s="236"/>
      <c r="GJ11" s="236"/>
      <c r="GK11" s="236"/>
      <c r="GL11" s="236"/>
      <c r="GM11" s="236"/>
      <c r="GN11" s="236"/>
      <c r="GO11" s="236"/>
      <c r="GP11" s="236"/>
      <c r="GQ11" s="236"/>
      <c r="GR11" s="236"/>
      <c r="GS11" s="236"/>
      <c r="GT11" s="236"/>
      <c r="GU11" s="236"/>
      <c r="GV11" s="236"/>
      <c r="GW11" s="236"/>
      <c r="GX11" s="236"/>
      <c r="GY11" s="236"/>
      <c r="GZ11" s="236"/>
      <c r="HA11" s="236"/>
      <c r="HB11" s="236"/>
      <c r="HC11" s="236"/>
      <c r="HD11" s="236"/>
      <c r="HE11" s="236"/>
      <c r="HF11" s="236"/>
      <c r="HG11" s="236"/>
      <c r="HH11" s="236"/>
      <c r="HI11" s="236"/>
      <c r="HJ11" s="236"/>
      <c r="HK11" s="236"/>
      <c r="HL11" s="236"/>
      <c r="HM11" s="236"/>
      <c r="HN11" s="236"/>
      <c r="HO11" s="236"/>
      <c r="HP11" s="236"/>
      <c r="HQ11" s="236"/>
      <c r="HR11" s="236"/>
      <c r="HS11" s="236"/>
      <c r="HT11" s="236"/>
      <c r="HU11" s="236"/>
      <c r="HV11" s="236"/>
      <c r="HW11" s="236"/>
      <c r="HX11" s="236"/>
      <c r="HY11" s="236"/>
      <c r="HZ11" s="236"/>
      <c r="IA11" s="236"/>
      <c r="IB11" s="236"/>
      <c r="IC11" s="236"/>
      <c r="ID11" s="236"/>
      <c r="IE11" s="236"/>
      <c r="IF11" s="236"/>
      <c r="IG11" s="236"/>
      <c r="IH11" s="236"/>
      <c r="II11" s="236"/>
      <c r="IJ11" s="236"/>
      <c r="IK11" s="236"/>
      <c r="IL11" s="236"/>
      <c r="IM11" s="236"/>
      <c r="IN11" s="236"/>
      <c r="IO11" s="236"/>
      <c r="IP11" s="236"/>
      <c r="IQ11" s="236"/>
      <c r="IR11" s="236"/>
      <c r="IS11" s="236"/>
      <c r="IT11" s="236"/>
      <c r="IU11" s="236"/>
      <c r="IV11" s="236"/>
    </row>
    <row r="12" spans="1:256" ht="16.5">
      <c r="A12" s="1427"/>
      <c r="B12" s="251" t="s">
        <v>256</v>
      </c>
      <c r="C12" s="252">
        <f>ROUND(4599*1.05*1.05*1.05,0)</f>
        <v>5324</v>
      </c>
      <c r="D12" s="252">
        <f>C12*3.666667</f>
        <v>19521.335108</v>
      </c>
      <c r="E12" s="252">
        <f t="shared" si="0"/>
        <v>37268.002662</v>
      </c>
      <c r="F12" s="253">
        <v>3</v>
      </c>
      <c r="G12" s="252">
        <f t="shared" si="1"/>
        <v>186340.01331</v>
      </c>
      <c r="H12" s="252">
        <f t="shared" si="2"/>
        <v>2236080.15972</v>
      </c>
      <c r="I12" s="252"/>
      <c r="J12" s="252"/>
      <c r="K12" s="252">
        <f t="shared" si="3"/>
        <v>0</v>
      </c>
      <c r="L12" s="1425"/>
      <c r="M12" s="252">
        <f t="shared" si="4"/>
        <v>0</v>
      </c>
      <c r="N12" s="254">
        <f t="shared" si="5"/>
        <v>0</v>
      </c>
      <c r="O12" s="252">
        <f>H12*0.28</f>
        <v>626102.4447216</v>
      </c>
      <c r="P12" s="252">
        <f t="shared" si="6"/>
        <v>2862182.6044416</v>
      </c>
      <c r="Q12" s="255"/>
      <c r="R12" s="255"/>
      <c r="S12" s="255"/>
      <c r="T12" s="256"/>
      <c r="U12" s="256"/>
      <c r="V12" s="256"/>
      <c r="W12" s="257"/>
      <c r="X12" s="258"/>
      <c r="Y12" s="259"/>
      <c r="Z12" s="258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6"/>
      <c r="DM12" s="236"/>
      <c r="DN12" s="236"/>
      <c r="DO12" s="236"/>
      <c r="DP12" s="236"/>
      <c r="DQ12" s="236"/>
      <c r="DR12" s="236"/>
      <c r="DS12" s="236"/>
      <c r="DT12" s="236"/>
      <c r="DU12" s="236"/>
      <c r="DV12" s="236"/>
      <c r="DW12" s="236"/>
      <c r="DX12" s="236"/>
      <c r="DY12" s="236"/>
      <c r="DZ12" s="236"/>
      <c r="EA12" s="236"/>
      <c r="EB12" s="236"/>
      <c r="EC12" s="236"/>
      <c r="ED12" s="236"/>
      <c r="EE12" s="236"/>
      <c r="EF12" s="236"/>
      <c r="EG12" s="236"/>
      <c r="EH12" s="236"/>
      <c r="EI12" s="236"/>
      <c r="EJ12" s="236"/>
      <c r="EK12" s="236"/>
      <c r="EL12" s="236"/>
      <c r="EM12" s="236"/>
      <c r="EN12" s="236"/>
      <c r="EO12" s="236"/>
      <c r="EP12" s="236"/>
      <c r="EQ12" s="236"/>
      <c r="ER12" s="236"/>
      <c r="ES12" s="236"/>
      <c r="ET12" s="236"/>
      <c r="EU12" s="236"/>
      <c r="EV12" s="236"/>
      <c r="EW12" s="236"/>
      <c r="EX12" s="236"/>
      <c r="EY12" s="236"/>
      <c r="EZ12" s="236"/>
      <c r="FA12" s="236"/>
      <c r="FB12" s="236"/>
      <c r="FC12" s="236"/>
      <c r="FD12" s="236"/>
      <c r="FE12" s="236"/>
      <c r="FF12" s="236"/>
      <c r="FG12" s="236"/>
      <c r="FH12" s="236"/>
      <c r="FI12" s="236"/>
      <c r="FJ12" s="236"/>
      <c r="FK12" s="236"/>
      <c r="FL12" s="236"/>
      <c r="FM12" s="236"/>
      <c r="FN12" s="236"/>
      <c r="FO12" s="236"/>
      <c r="FP12" s="236"/>
      <c r="FQ12" s="236"/>
      <c r="FR12" s="236"/>
      <c r="FS12" s="236"/>
      <c r="FT12" s="236"/>
      <c r="FU12" s="236"/>
      <c r="FV12" s="236"/>
      <c r="FW12" s="236"/>
      <c r="FX12" s="236"/>
      <c r="FY12" s="236"/>
      <c r="FZ12" s="236"/>
      <c r="GA12" s="236"/>
      <c r="GB12" s="236"/>
      <c r="GC12" s="236"/>
      <c r="GD12" s="236"/>
      <c r="GE12" s="236"/>
      <c r="GF12" s="236"/>
      <c r="GG12" s="236"/>
      <c r="GH12" s="236"/>
      <c r="GI12" s="236"/>
      <c r="GJ12" s="236"/>
      <c r="GK12" s="236"/>
      <c r="GL12" s="236"/>
      <c r="GM12" s="236"/>
      <c r="GN12" s="236"/>
      <c r="GO12" s="236"/>
      <c r="GP12" s="236"/>
      <c r="GQ12" s="236"/>
      <c r="GR12" s="236"/>
      <c r="GS12" s="236"/>
      <c r="GT12" s="236"/>
      <c r="GU12" s="236"/>
      <c r="GV12" s="236"/>
      <c r="GW12" s="236"/>
      <c r="GX12" s="236"/>
      <c r="GY12" s="236"/>
      <c r="GZ12" s="236"/>
      <c r="HA12" s="236"/>
      <c r="HB12" s="236"/>
      <c r="HC12" s="236"/>
      <c r="HD12" s="236"/>
      <c r="HE12" s="236"/>
      <c r="HF12" s="236"/>
      <c r="HG12" s="236"/>
      <c r="HH12" s="236"/>
      <c r="HI12" s="236"/>
      <c r="HJ12" s="236"/>
      <c r="HK12" s="236"/>
      <c r="HL12" s="236"/>
      <c r="HM12" s="236"/>
      <c r="HN12" s="236"/>
      <c r="HO12" s="236"/>
      <c r="HP12" s="236"/>
      <c r="HQ12" s="236"/>
      <c r="HR12" s="236"/>
      <c r="HS12" s="236"/>
      <c r="HT12" s="236"/>
      <c r="HU12" s="236"/>
      <c r="HV12" s="236"/>
      <c r="HW12" s="236"/>
      <c r="HX12" s="236"/>
      <c r="HY12" s="236"/>
      <c r="HZ12" s="236"/>
      <c r="IA12" s="236"/>
      <c r="IB12" s="236"/>
      <c r="IC12" s="236"/>
      <c r="ID12" s="236"/>
      <c r="IE12" s="236"/>
      <c r="IF12" s="236"/>
      <c r="IG12" s="236"/>
      <c r="IH12" s="236"/>
      <c r="II12" s="236"/>
      <c r="IJ12" s="236"/>
      <c r="IK12" s="236"/>
      <c r="IL12" s="236"/>
      <c r="IM12" s="236"/>
      <c r="IN12" s="236"/>
      <c r="IO12" s="236"/>
      <c r="IP12" s="236"/>
      <c r="IQ12" s="236"/>
      <c r="IR12" s="236"/>
      <c r="IS12" s="236"/>
      <c r="IT12" s="236"/>
      <c r="IU12" s="236"/>
      <c r="IV12" s="236"/>
    </row>
    <row r="13" spans="1:256" ht="16.5" customHeight="1">
      <c r="A13" s="1427"/>
      <c r="B13" s="251" t="s">
        <v>257</v>
      </c>
      <c r="C13" s="252">
        <f>ROUND(3761*1.05*1.05*1.05,0)</f>
        <v>4354</v>
      </c>
      <c r="D13" s="252">
        <f>C13*3.666667</f>
        <v>15964.668118</v>
      </c>
      <c r="E13" s="252">
        <f t="shared" si="0"/>
        <v>30478.002177000002</v>
      </c>
      <c r="F13" s="253">
        <v>1</v>
      </c>
      <c r="G13" s="252">
        <f t="shared" si="1"/>
        <v>50796.670295</v>
      </c>
      <c r="H13" s="252">
        <f t="shared" si="2"/>
        <v>609560.04354</v>
      </c>
      <c r="I13" s="252"/>
      <c r="J13" s="252"/>
      <c r="K13" s="252">
        <f t="shared" si="3"/>
        <v>0</v>
      </c>
      <c r="L13" s="1425"/>
      <c r="M13" s="252">
        <f t="shared" si="4"/>
        <v>0</v>
      </c>
      <c r="N13" s="254">
        <f t="shared" si="5"/>
        <v>0</v>
      </c>
      <c r="O13" s="252">
        <f>H13*0.302</f>
        <v>184087.13314907998</v>
      </c>
      <c r="P13" s="252">
        <f t="shared" si="6"/>
        <v>793647.17668908</v>
      </c>
      <c r="Q13" s="255"/>
      <c r="R13" s="255"/>
      <c r="S13" s="255"/>
      <c r="T13" s="256"/>
      <c r="U13" s="256"/>
      <c r="V13" s="256"/>
      <c r="W13" s="257"/>
      <c r="X13" s="258"/>
      <c r="Y13" s="259"/>
      <c r="Z13" s="258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6"/>
      <c r="DM13" s="236"/>
      <c r="DN13" s="236"/>
      <c r="DO13" s="236"/>
      <c r="DP13" s="236"/>
      <c r="DQ13" s="236"/>
      <c r="DR13" s="236"/>
      <c r="DS13" s="236"/>
      <c r="DT13" s="236"/>
      <c r="DU13" s="236"/>
      <c r="DV13" s="236"/>
      <c r="DW13" s="236"/>
      <c r="DX13" s="236"/>
      <c r="DY13" s="236"/>
      <c r="DZ13" s="236"/>
      <c r="EA13" s="236"/>
      <c r="EB13" s="236"/>
      <c r="EC13" s="236"/>
      <c r="ED13" s="236"/>
      <c r="EE13" s="236"/>
      <c r="EF13" s="236"/>
      <c r="EG13" s="236"/>
      <c r="EH13" s="236"/>
      <c r="EI13" s="236"/>
      <c r="EJ13" s="236"/>
      <c r="EK13" s="236"/>
      <c r="EL13" s="236"/>
      <c r="EM13" s="236"/>
      <c r="EN13" s="236"/>
      <c r="EO13" s="236"/>
      <c r="EP13" s="236"/>
      <c r="EQ13" s="236"/>
      <c r="ER13" s="236"/>
      <c r="ES13" s="236"/>
      <c r="ET13" s="236"/>
      <c r="EU13" s="236"/>
      <c r="EV13" s="236"/>
      <c r="EW13" s="236"/>
      <c r="EX13" s="236"/>
      <c r="EY13" s="236"/>
      <c r="EZ13" s="236"/>
      <c r="FA13" s="236"/>
      <c r="FB13" s="236"/>
      <c r="FC13" s="236"/>
      <c r="FD13" s="236"/>
      <c r="FE13" s="236"/>
      <c r="FF13" s="236"/>
      <c r="FG13" s="236"/>
      <c r="FH13" s="236"/>
      <c r="FI13" s="236"/>
      <c r="FJ13" s="236"/>
      <c r="FK13" s="236"/>
      <c r="FL13" s="236"/>
      <c r="FM13" s="236"/>
      <c r="FN13" s="236"/>
      <c r="FO13" s="236"/>
      <c r="FP13" s="236"/>
      <c r="FQ13" s="236"/>
      <c r="FR13" s="236"/>
      <c r="FS13" s="236"/>
      <c r="FT13" s="236"/>
      <c r="FU13" s="236"/>
      <c r="FV13" s="236"/>
      <c r="FW13" s="236"/>
      <c r="FX13" s="236"/>
      <c r="FY13" s="236"/>
      <c r="FZ13" s="236"/>
      <c r="GA13" s="236"/>
      <c r="GB13" s="236"/>
      <c r="GC13" s="236"/>
      <c r="GD13" s="236"/>
      <c r="GE13" s="236"/>
      <c r="GF13" s="236"/>
      <c r="GG13" s="236"/>
      <c r="GH13" s="236"/>
      <c r="GI13" s="236"/>
      <c r="GJ13" s="236"/>
      <c r="GK13" s="236"/>
      <c r="GL13" s="236"/>
      <c r="GM13" s="236"/>
      <c r="GN13" s="236"/>
      <c r="GO13" s="236"/>
      <c r="GP13" s="236"/>
      <c r="GQ13" s="236"/>
      <c r="GR13" s="236"/>
      <c r="GS13" s="236"/>
      <c r="GT13" s="236"/>
      <c r="GU13" s="236"/>
      <c r="GV13" s="236"/>
      <c r="GW13" s="236"/>
      <c r="GX13" s="236"/>
      <c r="GY13" s="236"/>
      <c r="GZ13" s="236"/>
      <c r="HA13" s="236"/>
      <c r="HB13" s="236"/>
      <c r="HC13" s="236"/>
      <c r="HD13" s="236"/>
      <c r="HE13" s="236"/>
      <c r="HF13" s="236"/>
      <c r="HG13" s="236"/>
      <c r="HH13" s="236"/>
      <c r="HI13" s="236"/>
      <c r="HJ13" s="236"/>
      <c r="HK13" s="236"/>
      <c r="HL13" s="236"/>
      <c r="HM13" s="236"/>
      <c r="HN13" s="236"/>
      <c r="HO13" s="236"/>
      <c r="HP13" s="236"/>
      <c r="HQ13" s="236"/>
      <c r="HR13" s="236"/>
      <c r="HS13" s="236"/>
      <c r="HT13" s="236"/>
      <c r="HU13" s="236"/>
      <c r="HV13" s="236"/>
      <c r="HW13" s="236"/>
      <c r="HX13" s="236"/>
      <c r="HY13" s="236"/>
      <c r="HZ13" s="236"/>
      <c r="IA13" s="236"/>
      <c r="IB13" s="236"/>
      <c r="IC13" s="236"/>
      <c r="ID13" s="236"/>
      <c r="IE13" s="236"/>
      <c r="IF13" s="236"/>
      <c r="IG13" s="236"/>
      <c r="IH13" s="236"/>
      <c r="II13" s="236"/>
      <c r="IJ13" s="236"/>
      <c r="IK13" s="236"/>
      <c r="IL13" s="236"/>
      <c r="IM13" s="236"/>
      <c r="IN13" s="236"/>
      <c r="IO13" s="236"/>
      <c r="IP13" s="236"/>
      <c r="IQ13" s="236"/>
      <c r="IR13" s="236"/>
      <c r="IS13" s="236"/>
      <c r="IT13" s="236"/>
      <c r="IU13" s="236"/>
      <c r="IV13" s="236"/>
    </row>
    <row r="14" spans="1:256" ht="16.5">
      <c r="A14" s="1431"/>
      <c r="B14" s="260" t="s">
        <v>258</v>
      </c>
      <c r="C14" s="261">
        <v>3504</v>
      </c>
      <c r="D14" s="252">
        <f>C14*2</f>
        <v>7008</v>
      </c>
      <c r="E14" s="252">
        <f t="shared" si="0"/>
        <v>15768</v>
      </c>
      <c r="F14" s="262">
        <v>1</v>
      </c>
      <c r="G14" s="252">
        <f t="shared" si="1"/>
        <v>26280</v>
      </c>
      <c r="H14" s="252">
        <f t="shared" si="2"/>
        <v>315360</v>
      </c>
      <c r="I14" s="261"/>
      <c r="J14" s="252"/>
      <c r="K14" s="252">
        <f t="shared" si="3"/>
        <v>0</v>
      </c>
      <c r="L14" s="1432"/>
      <c r="M14" s="252">
        <f t="shared" si="4"/>
        <v>0</v>
      </c>
      <c r="N14" s="254">
        <f t="shared" si="5"/>
        <v>0</v>
      </c>
      <c r="O14" s="252">
        <f>H14*0.302</f>
        <v>95238.72</v>
      </c>
      <c r="P14" s="252">
        <f t="shared" si="6"/>
        <v>410598.72</v>
      </c>
      <c r="Q14" s="246"/>
      <c r="R14" s="246"/>
      <c r="S14" s="246"/>
      <c r="T14" s="247"/>
      <c r="U14" s="263"/>
      <c r="V14" s="247"/>
      <c r="W14" s="264"/>
      <c r="X14" s="249"/>
      <c r="Y14" s="250"/>
      <c r="Z14" s="249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6"/>
      <c r="DN14" s="236"/>
      <c r="DO14" s="236"/>
      <c r="DP14" s="236"/>
      <c r="DQ14" s="236"/>
      <c r="DR14" s="236"/>
      <c r="DS14" s="236"/>
      <c r="DT14" s="236"/>
      <c r="DU14" s="236"/>
      <c r="DV14" s="236"/>
      <c r="DW14" s="236"/>
      <c r="DX14" s="236"/>
      <c r="DY14" s="236"/>
      <c r="DZ14" s="236"/>
      <c r="EA14" s="236"/>
      <c r="EB14" s="236"/>
      <c r="EC14" s="236"/>
      <c r="ED14" s="236"/>
      <c r="EE14" s="236"/>
      <c r="EF14" s="236"/>
      <c r="EG14" s="236"/>
      <c r="EH14" s="236"/>
      <c r="EI14" s="236"/>
      <c r="EJ14" s="236"/>
      <c r="EK14" s="236"/>
      <c r="EL14" s="236"/>
      <c r="EM14" s="236"/>
      <c r="EN14" s="236"/>
      <c r="EO14" s="236"/>
      <c r="EP14" s="236"/>
      <c r="EQ14" s="236"/>
      <c r="ER14" s="236"/>
      <c r="ES14" s="236"/>
      <c r="ET14" s="236"/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6"/>
      <c r="FL14" s="236"/>
      <c r="FM14" s="236"/>
      <c r="FN14" s="236"/>
      <c r="FO14" s="236"/>
      <c r="FP14" s="236"/>
      <c r="FQ14" s="236"/>
      <c r="FR14" s="236"/>
      <c r="FS14" s="236"/>
      <c r="FT14" s="236"/>
      <c r="FU14" s="236"/>
      <c r="FV14" s="236"/>
      <c r="FW14" s="236"/>
      <c r="FX14" s="236"/>
      <c r="FY14" s="236"/>
      <c r="FZ14" s="236"/>
      <c r="GA14" s="236"/>
      <c r="GB14" s="236"/>
      <c r="GC14" s="236"/>
      <c r="GD14" s="236"/>
      <c r="GE14" s="236"/>
      <c r="GF14" s="236"/>
      <c r="GG14" s="236"/>
      <c r="GH14" s="236"/>
      <c r="GI14" s="236"/>
      <c r="GJ14" s="236"/>
      <c r="GK14" s="236"/>
      <c r="GL14" s="236"/>
      <c r="GM14" s="236"/>
      <c r="GN14" s="236"/>
      <c r="GO14" s="236"/>
      <c r="GP14" s="236"/>
      <c r="GQ14" s="236"/>
      <c r="GR14" s="236"/>
      <c r="GS14" s="236"/>
      <c r="GT14" s="236"/>
      <c r="GU14" s="236"/>
      <c r="GV14" s="236"/>
      <c r="GW14" s="236"/>
      <c r="GX14" s="236"/>
      <c r="GY14" s="236"/>
      <c r="GZ14" s="236"/>
      <c r="HA14" s="236"/>
      <c r="HB14" s="236"/>
      <c r="HC14" s="236"/>
      <c r="HD14" s="236"/>
      <c r="HE14" s="236"/>
      <c r="HF14" s="236"/>
      <c r="HG14" s="236"/>
      <c r="HH14" s="236"/>
      <c r="HI14" s="236"/>
      <c r="HJ14" s="236"/>
      <c r="HK14" s="236"/>
      <c r="HL14" s="236"/>
      <c r="HM14" s="236"/>
      <c r="HN14" s="236"/>
      <c r="HO14" s="236"/>
      <c r="HP14" s="236"/>
      <c r="HQ14" s="236"/>
      <c r="HR14" s="236"/>
      <c r="HS14" s="236"/>
      <c r="HT14" s="236"/>
      <c r="HU14" s="236"/>
      <c r="HV14" s="236"/>
      <c r="HW14" s="236"/>
      <c r="HX14" s="236"/>
      <c r="HY14" s="236"/>
      <c r="HZ14" s="236"/>
      <c r="IA14" s="236"/>
      <c r="IB14" s="236"/>
      <c r="IC14" s="236"/>
      <c r="ID14" s="236"/>
      <c r="IE14" s="236"/>
      <c r="IF14" s="236"/>
      <c r="IG14" s="236"/>
      <c r="IH14" s="236"/>
      <c r="II14" s="236"/>
      <c r="IJ14" s="236"/>
      <c r="IK14" s="236"/>
      <c r="IL14" s="236"/>
      <c r="IM14" s="236"/>
      <c r="IN14" s="236"/>
      <c r="IO14" s="236"/>
      <c r="IP14" s="236"/>
      <c r="IQ14" s="236"/>
      <c r="IR14" s="236"/>
      <c r="IS14" s="236"/>
      <c r="IT14" s="236"/>
      <c r="IU14" s="236"/>
      <c r="IV14" s="236"/>
    </row>
    <row r="15" spans="1:256" ht="17.25" thickBot="1">
      <c r="A15" s="265" t="s">
        <v>181</v>
      </c>
      <c r="B15" s="266"/>
      <c r="C15" s="267"/>
      <c r="D15" s="267"/>
      <c r="E15" s="267"/>
      <c r="F15" s="268">
        <f>SUM(F9:F14)</f>
        <v>13</v>
      </c>
      <c r="G15" s="267">
        <f>SUM(G9:G14)</f>
        <v>857180.0593499999</v>
      </c>
      <c r="H15" s="267">
        <f>SUM(H9:H14)</f>
        <v>10286160.712199997</v>
      </c>
      <c r="I15" s="267">
        <f aca="true" t="shared" si="7" ref="I15:N15">SUM(I9:I14)</f>
        <v>0</v>
      </c>
      <c r="J15" s="267">
        <f t="shared" si="7"/>
        <v>0</v>
      </c>
      <c r="K15" s="267">
        <f t="shared" si="7"/>
        <v>0</v>
      </c>
      <c r="L15" s="267">
        <f t="shared" si="7"/>
        <v>0</v>
      </c>
      <c r="M15" s="267">
        <f t="shared" si="7"/>
        <v>0</v>
      </c>
      <c r="N15" s="267">
        <f t="shared" si="7"/>
        <v>0</v>
      </c>
      <c r="O15" s="267">
        <f>SUM(O9:O14)</f>
        <v>2900473.24037388</v>
      </c>
      <c r="P15" s="267">
        <f>SUM(P9:P14)</f>
        <v>13186633.952573879</v>
      </c>
      <c r="Q15" s="269">
        <f>P15/1000</f>
        <v>13186.633952573879</v>
      </c>
      <c r="R15" s="269">
        <f>406.4*1.055*1.05</f>
        <v>450.1896</v>
      </c>
      <c r="S15" s="270">
        <f>52.5*1.055*1.05</f>
        <v>58.156875</v>
      </c>
      <c r="T15" s="271">
        <v>468.86</v>
      </c>
      <c r="U15" s="271">
        <f>1547.2-1506.9</f>
        <v>40.299999999999955</v>
      </c>
      <c r="V15" s="271">
        <f>205.9*1.055</f>
        <v>217.2245</v>
      </c>
      <c r="W15" s="272">
        <f>495*1.055</f>
        <v>522.225</v>
      </c>
      <c r="X15" s="273">
        <v>14943.6</v>
      </c>
      <c r="Y15" s="274">
        <v>15002.5</v>
      </c>
      <c r="Z15" s="275">
        <v>15025.6</v>
      </c>
      <c r="AA15" s="276"/>
      <c r="AB15" s="276"/>
      <c r="AC15" s="277"/>
      <c r="AD15" s="277"/>
      <c r="AE15" s="277"/>
      <c r="AF15" s="277"/>
      <c r="AG15" s="278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/>
      <c r="DN15" s="236"/>
      <c r="DO15" s="236"/>
      <c r="DP15" s="236"/>
      <c r="DQ15" s="236"/>
      <c r="DR15" s="236"/>
      <c r="DS15" s="236"/>
      <c r="DT15" s="236"/>
      <c r="DU15" s="236"/>
      <c r="DV15" s="236"/>
      <c r="DW15" s="236"/>
      <c r="DX15" s="236"/>
      <c r="DY15" s="236"/>
      <c r="DZ15" s="236"/>
      <c r="EA15" s="236"/>
      <c r="EB15" s="236"/>
      <c r="EC15" s="236"/>
      <c r="ED15" s="236"/>
      <c r="EE15" s="236"/>
      <c r="EF15" s="236"/>
      <c r="EG15" s="236"/>
      <c r="EH15" s="236"/>
      <c r="EI15" s="236"/>
      <c r="EJ15" s="236"/>
      <c r="EK15" s="236"/>
      <c r="EL15" s="236"/>
      <c r="EM15" s="236"/>
      <c r="EN15" s="236"/>
      <c r="EO15" s="236"/>
      <c r="EP15" s="236"/>
      <c r="EQ15" s="236"/>
      <c r="ER15" s="236"/>
      <c r="ES15" s="236"/>
      <c r="ET15" s="236"/>
      <c r="EU15" s="236"/>
      <c r="EV15" s="236"/>
      <c r="EW15" s="236"/>
      <c r="EX15" s="236"/>
      <c r="EY15" s="236"/>
      <c r="EZ15" s="236"/>
      <c r="FA15" s="236"/>
      <c r="FB15" s="236"/>
      <c r="FC15" s="236"/>
      <c r="FD15" s="236"/>
      <c r="FE15" s="236"/>
      <c r="FF15" s="236"/>
      <c r="FG15" s="236"/>
      <c r="FH15" s="236"/>
      <c r="FI15" s="236"/>
      <c r="FJ15" s="236"/>
      <c r="FK15" s="236"/>
      <c r="FL15" s="236"/>
      <c r="FM15" s="236"/>
      <c r="FN15" s="236"/>
      <c r="FO15" s="236"/>
      <c r="FP15" s="236"/>
      <c r="FQ15" s="236"/>
      <c r="FR15" s="236"/>
      <c r="FS15" s="236"/>
      <c r="FT15" s="236"/>
      <c r="FU15" s="236"/>
      <c r="FV15" s="236"/>
      <c r="FW15" s="236"/>
      <c r="FX15" s="236"/>
      <c r="FY15" s="236"/>
      <c r="FZ15" s="236"/>
      <c r="GA15" s="236"/>
      <c r="GB15" s="236"/>
      <c r="GC15" s="236"/>
      <c r="GD15" s="236"/>
      <c r="GE15" s="236"/>
      <c r="GF15" s="236"/>
      <c r="GG15" s="236"/>
      <c r="GH15" s="236"/>
      <c r="GI15" s="236"/>
      <c r="GJ15" s="236"/>
      <c r="GK15" s="236"/>
      <c r="GL15" s="236"/>
      <c r="GM15" s="236"/>
      <c r="GN15" s="236"/>
      <c r="GO15" s="236"/>
      <c r="GP15" s="236"/>
      <c r="GQ15" s="236"/>
      <c r="GR15" s="236"/>
      <c r="GS15" s="236"/>
      <c r="GT15" s="236"/>
      <c r="GU15" s="236"/>
      <c r="GV15" s="236"/>
      <c r="GW15" s="236"/>
      <c r="GX15" s="236"/>
      <c r="GY15" s="236"/>
      <c r="GZ15" s="236"/>
      <c r="HA15" s="236"/>
      <c r="HB15" s="236"/>
      <c r="HC15" s="236"/>
      <c r="HD15" s="236"/>
      <c r="HE15" s="236"/>
      <c r="HF15" s="236"/>
      <c r="HG15" s="236"/>
      <c r="HH15" s="236"/>
      <c r="HI15" s="236"/>
      <c r="HJ15" s="236"/>
      <c r="HK15" s="236"/>
      <c r="HL15" s="236"/>
      <c r="HM15" s="236"/>
      <c r="HN15" s="236"/>
      <c r="HO15" s="236"/>
      <c r="HP15" s="236"/>
      <c r="HQ15" s="236"/>
      <c r="HR15" s="236"/>
      <c r="HS15" s="236"/>
      <c r="HT15" s="236"/>
      <c r="HU15" s="236"/>
      <c r="HV15" s="236"/>
      <c r="HW15" s="236"/>
      <c r="HX15" s="236"/>
      <c r="HY15" s="236"/>
      <c r="HZ15" s="236"/>
      <c r="IA15" s="236"/>
      <c r="IB15" s="236"/>
      <c r="IC15" s="236"/>
      <c r="ID15" s="236"/>
      <c r="IE15" s="236"/>
      <c r="IF15" s="236"/>
      <c r="IG15" s="236"/>
      <c r="IH15" s="236"/>
      <c r="II15" s="236"/>
      <c r="IJ15" s="236"/>
      <c r="IK15" s="236"/>
      <c r="IL15" s="236"/>
      <c r="IM15" s="236"/>
      <c r="IN15" s="236"/>
      <c r="IO15" s="236"/>
      <c r="IP15" s="236"/>
      <c r="IQ15" s="236"/>
      <c r="IR15" s="236"/>
      <c r="IS15" s="236"/>
      <c r="IT15" s="236"/>
      <c r="IU15" s="236"/>
      <c r="IV15" s="236"/>
    </row>
    <row r="16" spans="1:256" ht="16.5">
      <c r="A16" s="1426" t="s">
        <v>480</v>
      </c>
      <c r="B16" s="242" t="s">
        <v>255</v>
      </c>
      <c r="C16" s="252">
        <f>ROUND(5015*1.05*1.05*1.05,0)</f>
        <v>5805</v>
      </c>
      <c r="D16" s="252">
        <f>C16*3.666667</f>
        <v>21285.001935</v>
      </c>
      <c r="E16" s="252">
        <f>(C16+D16)*1.5</f>
        <v>40635.0029025</v>
      </c>
      <c r="F16" s="253">
        <v>1</v>
      </c>
      <c r="G16" s="252">
        <f>(C16+D16+E16)*F16</f>
        <v>67725.00483749999</v>
      </c>
      <c r="H16" s="252">
        <f>G16*12</f>
        <v>812700.0580499999</v>
      </c>
      <c r="I16" s="252"/>
      <c r="J16" s="252">
        <f>I16*4.666667</f>
        <v>0</v>
      </c>
      <c r="K16" s="252">
        <f>(I16+J16)*1.5</f>
        <v>0</v>
      </c>
      <c r="L16" s="1424" t="s">
        <v>30</v>
      </c>
      <c r="M16" s="252">
        <f>(J16+K16+I16)*F16</f>
        <v>0</v>
      </c>
      <c r="N16" s="254">
        <f>M16*3</f>
        <v>0</v>
      </c>
      <c r="O16" s="252">
        <f>H16*0.28</f>
        <v>227556.016254</v>
      </c>
      <c r="P16" s="252">
        <f>O16+H16</f>
        <v>1040256.0743039999</v>
      </c>
      <c r="Q16" s="281"/>
      <c r="R16" s="281"/>
      <c r="S16" s="282"/>
      <c r="T16" s="290"/>
      <c r="U16" s="290"/>
      <c r="V16" s="290"/>
      <c r="W16" s="291"/>
      <c r="X16" s="292"/>
      <c r="Y16" s="293"/>
      <c r="Z16" s="292"/>
      <c r="AA16" s="236"/>
      <c r="AB16" s="236"/>
      <c r="AC16" s="236"/>
      <c r="AD16" s="236"/>
      <c r="AE16" s="236"/>
      <c r="AF16" s="236"/>
      <c r="AG16" s="28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/>
      <c r="CV16" s="236"/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6"/>
      <c r="DI16" s="236"/>
      <c r="DJ16" s="236"/>
      <c r="DK16" s="236"/>
      <c r="DL16" s="236"/>
      <c r="DM16" s="236"/>
      <c r="DN16" s="236"/>
      <c r="DO16" s="236"/>
      <c r="DP16" s="236"/>
      <c r="DQ16" s="236"/>
      <c r="DR16" s="236"/>
      <c r="DS16" s="236"/>
      <c r="DT16" s="236"/>
      <c r="DU16" s="236"/>
      <c r="DV16" s="236"/>
      <c r="DW16" s="236"/>
      <c r="DX16" s="236"/>
      <c r="DY16" s="236"/>
      <c r="DZ16" s="236"/>
      <c r="EA16" s="236"/>
      <c r="EB16" s="236"/>
      <c r="EC16" s="236"/>
      <c r="ED16" s="236"/>
      <c r="EE16" s="236"/>
      <c r="EF16" s="236"/>
      <c r="EG16" s="236"/>
      <c r="EH16" s="236"/>
      <c r="EI16" s="236"/>
      <c r="EJ16" s="236"/>
      <c r="EK16" s="236"/>
      <c r="EL16" s="236"/>
      <c r="EM16" s="236"/>
      <c r="EN16" s="236"/>
      <c r="EO16" s="236"/>
      <c r="EP16" s="236"/>
      <c r="EQ16" s="236"/>
      <c r="ER16" s="236"/>
      <c r="ES16" s="236"/>
      <c r="ET16" s="236"/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36"/>
      <c r="FJ16" s="236"/>
      <c r="FK16" s="236"/>
      <c r="FL16" s="236"/>
      <c r="FM16" s="236"/>
      <c r="FN16" s="236"/>
      <c r="FO16" s="236"/>
      <c r="FP16" s="236"/>
      <c r="FQ16" s="236"/>
      <c r="FR16" s="236"/>
      <c r="FS16" s="236"/>
      <c r="FT16" s="236"/>
      <c r="FU16" s="236"/>
      <c r="FV16" s="236"/>
      <c r="FW16" s="236"/>
      <c r="FX16" s="236"/>
      <c r="FY16" s="236"/>
      <c r="FZ16" s="236"/>
      <c r="GA16" s="236"/>
      <c r="GB16" s="236"/>
      <c r="GC16" s="236"/>
      <c r="GD16" s="236"/>
      <c r="GE16" s="236"/>
      <c r="GF16" s="236"/>
      <c r="GG16" s="236"/>
      <c r="GH16" s="236"/>
      <c r="GI16" s="236"/>
      <c r="GJ16" s="236"/>
      <c r="GK16" s="236"/>
      <c r="GL16" s="236"/>
      <c r="GM16" s="236"/>
      <c r="GN16" s="236"/>
      <c r="GO16" s="236"/>
      <c r="GP16" s="236"/>
      <c r="GQ16" s="236"/>
      <c r="GR16" s="236"/>
      <c r="GS16" s="236"/>
      <c r="GT16" s="236"/>
      <c r="GU16" s="236"/>
      <c r="GV16" s="236"/>
      <c r="GW16" s="236"/>
      <c r="GX16" s="236"/>
      <c r="GY16" s="236"/>
      <c r="GZ16" s="236"/>
      <c r="HA16" s="236"/>
      <c r="HB16" s="236"/>
      <c r="HC16" s="236"/>
      <c r="HD16" s="236"/>
      <c r="HE16" s="236"/>
      <c r="HF16" s="236"/>
      <c r="HG16" s="236"/>
      <c r="HH16" s="236"/>
      <c r="HI16" s="236"/>
      <c r="HJ16" s="236"/>
      <c r="HK16" s="236"/>
      <c r="HL16" s="236"/>
      <c r="HM16" s="236"/>
      <c r="HN16" s="236"/>
      <c r="HO16" s="236"/>
      <c r="HP16" s="236"/>
      <c r="HQ16" s="236"/>
      <c r="HR16" s="236"/>
      <c r="HS16" s="236"/>
      <c r="HT16" s="236"/>
      <c r="HU16" s="236"/>
      <c r="HV16" s="236"/>
      <c r="HW16" s="236"/>
      <c r="HX16" s="236"/>
      <c r="HY16" s="236"/>
      <c r="HZ16" s="236"/>
      <c r="IA16" s="236"/>
      <c r="IB16" s="236"/>
      <c r="IC16" s="236"/>
      <c r="ID16" s="236"/>
      <c r="IE16" s="236"/>
      <c r="IF16" s="236"/>
      <c r="IG16" s="236"/>
      <c r="IH16" s="236"/>
      <c r="II16" s="236"/>
      <c r="IJ16" s="236"/>
      <c r="IK16" s="236"/>
      <c r="IL16" s="236"/>
      <c r="IM16" s="236"/>
      <c r="IN16" s="236"/>
      <c r="IO16" s="236"/>
      <c r="IP16" s="236"/>
      <c r="IQ16" s="236"/>
      <c r="IR16" s="236"/>
      <c r="IS16" s="236"/>
      <c r="IT16" s="236"/>
      <c r="IU16" s="236"/>
      <c r="IV16" s="236"/>
    </row>
    <row r="17" spans="1:256" ht="16.5">
      <c r="A17" s="1427"/>
      <c r="B17" s="251" t="s">
        <v>256</v>
      </c>
      <c r="C17" s="252">
        <f>ROUND(4599*1.05*1.05*1.05,0)</f>
        <v>5324</v>
      </c>
      <c r="D17" s="252">
        <f>C17*3.666667</f>
        <v>19521.335108</v>
      </c>
      <c r="E17" s="252">
        <f>(C17+D17)*1.5</f>
        <v>37268.002662</v>
      </c>
      <c r="F17" s="253">
        <v>1</v>
      </c>
      <c r="G17" s="252">
        <f>(C17+D17+E17)*F17</f>
        <v>62113.33777</v>
      </c>
      <c r="H17" s="252">
        <f>G17*12</f>
        <v>745360.05324</v>
      </c>
      <c r="I17" s="252"/>
      <c r="J17" s="252">
        <f>I17*4.666667</f>
        <v>0</v>
      </c>
      <c r="K17" s="252">
        <f>(I17+J17)*1.5</f>
        <v>0</v>
      </c>
      <c r="L17" s="1425"/>
      <c r="M17" s="252">
        <f>(J17+K17+I17)*F17</f>
        <v>0</v>
      </c>
      <c r="N17" s="254">
        <f>M17*3</f>
        <v>0</v>
      </c>
      <c r="O17" s="252">
        <f>H17*0.28</f>
        <v>208700.81490720002</v>
      </c>
      <c r="P17" s="252">
        <f>O17+H17</f>
        <v>954060.8681472001</v>
      </c>
      <c r="Q17" s="255"/>
      <c r="R17" s="255"/>
      <c r="S17" s="255"/>
      <c r="T17" s="294"/>
      <c r="U17" s="294"/>
      <c r="V17" s="294"/>
      <c r="W17" s="295"/>
      <c r="X17" s="292"/>
      <c r="Y17" s="293"/>
      <c r="Z17" s="292"/>
      <c r="AA17" s="236"/>
      <c r="AB17" s="236"/>
      <c r="AC17" s="236"/>
      <c r="AD17" s="236"/>
      <c r="AE17" s="236"/>
      <c r="AF17" s="236"/>
      <c r="AG17" s="28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/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6"/>
      <c r="DM17" s="236"/>
      <c r="DN17" s="236"/>
      <c r="DO17" s="236"/>
      <c r="DP17" s="236"/>
      <c r="DQ17" s="236"/>
      <c r="DR17" s="236"/>
      <c r="DS17" s="236"/>
      <c r="DT17" s="236"/>
      <c r="DU17" s="236"/>
      <c r="DV17" s="236"/>
      <c r="DW17" s="236"/>
      <c r="DX17" s="236"/>
      <c r="DY17" s="236"/>
      <c r="DZ17" s="236"/>
      <c r="EA17" s="236"/>
      <c r="EB17" s="236"/>
      <c r="EC17" s="236"/>
      <c r="ED17" s="236"/>
      <c r="EE17" s="236"/>
      <c r="EF17" s="236"/>
      <c r="EG17" s="236"/>
      <c r="EH17" s="236"/>
      <c r="EI17" s="236"/>
      <c r="EJ17" s="236"/>
      <c r="EK17" s="236"/>
      <c r="EL17" s="236"/>
      <c r="EM17" s="236"/>
      <c r="EN17" s="236"/>
      <c r="EO17" s="236"/>
      <c r="EP17" s="236"/>
      <c r="EQ17" s="236"/>
      <c r="ER17" s="236"/>
      <c r="ES17" s="236"/>
      <c r="ET17" s="236"/>
      <c r="EU17" s="236"/>
      <c r="EV17" s="236"/>
      <c r="EW17" s="236"/>
      <c r="EX17" s="236"/>
      <c r="EY17" s="236"/>
      <c r="EZ17" s="236"/>
      <c r="FA17" s="236"/>
      <c r="FB17" s="236"/>
      <c r="FC17" s="236"/>
      <c r="FD17" s="236"/>
      <c r="FE17" s="236"/>
      <c r="FF17" s="236"/>
      <c r="FG17" s="236"/>
      <c r="FH17" s="236"/>
      <c r="FI17" s="236"/>
      <c r="FJ17" s="236"/>
      <c r="FK17" s="236"/>
      <c r="FL17" s="236"/>
      <c r="FM17" s="236"/>
      <c r="FN17" s="236"/>
      <c r="FO17" s="236"/>
      <c r="FP17" s="236"/>
      <c r="FQ17" s="236"/>
      <c r="FR17" s="236"/>
      <c r="FS17" s="236"/>
      <c r="FT17" s="236"/>
      <c r="FU17" s="236"/>
      <c r="FV17" s="236"/>
      <c r="FW17" s="236"/>
      <c r="FX17" s="236"/>
      <c r="FY17" s="236"/>
      <c r="FZ17" s="236"/>
      <c r="GA17" s="236"/>
      <c r="GB17" s="236"/>
      <c r="GC17" s="236"/>
      <c r="GD17" s="236"/>
      <c r="GE17" s="236"/>
      <c r="GF17" s="236"/>
      <c r="GG17" s="236"/>
      <c r="GH17" s="236"/>
      <c r="GI17" s="236"/>
      <c r="GJ17" s="236"/>
      <c r="GK17" s="236"/>
      <c r="GL17" s="236"/>
      <c r="GM17" s="236"/>
      <c r="GN17" s="236"/>
      <c r="GO17" s="236"/>
      <c r="GP17" s="236"/>
      <c r="GQ17" s="236"/>
      <c r="GR17" s="236"/>
      <c r="GS17" s="236"/>
      <c r="GT17" s="236"/>
      <c r="GU17" s="236"/>
      <c r="GV17" s="236"/>
      <c r="GW17" s="236"/>
      <c r="GX17" s="236"/>
      <c r="GY17" s="236"/>
      <c r="GZ17" s="236"/>
      <c r="HA17" s="236"/>
      <c r="HB17" s="236"/>
      <c r="HC17" s="236"/>
      <c r="HD17" s="236"/>
      <c r="HE17" s="236"/>
      <c r="HF17" s="236"/>
      <c r="HG17" s="236"/>
      <c r="HH17" s="236"/>
      <c r="HI17" s="236"/>
      <c r="HJ17" s="236"/>
      <c r="HK17" s="236"/>
      <c r="HL17" s="236"/>
      <c r="HM17" s="236"/>
      <c r="HN17" s="236"/>
      <c r="HO17" s="236"/>
      <c r="HP17" s="236"/>
      <c r="HQ17" s="236"/>
      <c r="HR17" s="236"/>
      <c r="HS17" s="236"/>
      <c r="HT17" s="236"/>
      <c r="HU17" s="236"/>
      <c r="HV17" s="236"/>
      <c r="HW17" s="236"/>
      <c r="HX17" s="236"/>
      <c r="HY17" s="236"/>
      <c r="HZ17" s="236"/>
      <c r="IA17" s="236"/>
      <c r="IB17" s="236"/>
      <c r="IC17" s="236"/>
      <c r="ID17" s="236"/>
      <c r="IE17" s="236"/>
      <c r="IF17" s="236"/>
      <c r="IG17" s="236"/>
      <c r="IH17" s="236"/>
      <c r="II17" s="236"/>
      <c r="IJ17" s="236"/>
      <c r="IK17" s="236"/>
      <c r="IL17" s="236"/>
      <c r="IM17" s="236"/>
      <c r="IN17" s="236"/>
      <c r="IO17" s="236"/>
      <c r="IP17" s="236"/>
      <c r="IQ17" s="236"/>
      <c r="IR17" s="236"/>
      <c r="IS17" s="236"/>
      <c r="IT17" s="236"/>
      <c r="IU17" s="236"/>
      <c r="IV17" s="236"/>
    </row>
    <row r="18" spans="1:256" ht="17.25" thickBot="1">
      <c r="A18" s="265" t="s">
        <v>181</v>
      </c>
      <c r="B18" s="266"/>
      <c r="C18" s="267"/>
      <c r="D18" s="267"/>
      <c r="E18" s="267"/>
      <c r="F18" s="268">
        <f>SUM(F16:F17)</f>
        <v>2</v>
      </c>
      <c r="G18" s="267">
        <f>SUM(G16:G17)</f>
        <v>129838.34260749999</v>
      </c>
      <c r="H18" s="267">
        <f aca="true" t="shared" si="8" ref="H18:N18">SUM(H16:H17)</f>
        <v>1558060.11129</v>
      </c>
      <c r="I18" s="267">
        <f t="shared" si="8"/>
        <v>0</v>
      </c>
      <c r="J18" s="267">
        <f t="shared" si="8"/>
        <v>0</v>
      </c>
      <c r="K18" s="267">
        <f t="shared" si="8"/>
        <v>0</v>
      </c>
      <c r="L18" s="267">
        <f t="shared" si="8"/>
        <v>0</v>
      </c>
      <c r="M18" s="267">
        <f t="shared" si="8"/>
        <v>0</v>
      </c>
      <c r="N18" s="267">
        <f t="shared" si="8"/>
        <v>0</v>
      </c>
      <c r="O18" s="267">
        <f>SUM(O16:O17)</f>
        <v>436256.8311612</v>
      </c>
      <c r="P18" s="267">
        <f>SUM(P16:P17)</f>
        <v>1994316.9424512</v>
      </c>
      <c r="Q18" s="269">
        <f>P18/1000</f>
        <v>1994.3169424512</v>
      </c>
      <c r="R18" s="269">
        <f>254.4*1.055*1.055*1.05</f>
        <v>297.311238</v>
      </c>
      <c r="S18" s="270">
        <f>27.9*1.055*1.055*1.05</f>
        <v>32.606067374999995</v>
      </c>
      <c r="T18" s="271">
        <f>56.7*1.055*1.055</f>
        <v>63.1085175</v>
      </c>
      <c r="U18" s="271">
        <v>60</v>
      </c>
      <c r="V18" s="271">
        <f>16.4*1.055*1.055</f>
        <v>18.253609999999995</v>
      </c>
      <c r="W18" s="272">
        <v>32.5</v>
      </c>
      <c r="X18" s="273">
        <v>2498.1</v>
      </c>
      <c r="Y18" s="274">
        <v>2510</v>
      </c>
      <c r="Z18" s="275">
        <v>2520</v>
      </c>
      <c r="AA18" s="276"/>
      <c r="AB18" s="276"/>
      <c r="AC18" s="276"/>
      <c r="AD18" s="276"/>
      <c r="AE18" s="276"/>
      <c r="AF18" s="276"/>
      <c r="AG18" s="278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/>
      <c r="DM18" s="236"/>
      <c r="DN18" s="236"/>
      <c r="DO18" s="236"/>
      <c r="DP18" s="236"/>
      <c r="DQ18" s="236"/>
      <c r="DR18" s="236"/>
      <c r="DS18" s="236"/>
      <c r="DT18" s="236"/>
      <c r="DU18" s="236"/>
      <c r="DV18" s="236"/>
      <c r="DW18" s="236"/>
      <c r="DX18" s="236"/>
      <c r="DY18" s="236"/>
      <c r="DZ18" s="236"/>
      <c r="EA18" s="236"/>
      <c r="EB18" s="236"/>
      <c r="EC18" s="236"/>
      <c r="ED18" s="236"/>
      <c r="EE18" s="236"/>
      <c r="EF18" s="236"/>
      <c r="EG18" s="236"/>
      <c r="EH18" s="236"/>
      <c r="EI18" s="236"/>
      <c r="EJ18" s="236"/>
      <c r="EK18" s="236"/>
      <c r="EL18" s="236"/>
      <c r="EM18" s="236"/>
      <c r="EN18" s="236"/>
      <c r="EO18" s="236"/>
      <c r="EP18" s="236"/>
      <c r="EQ18" s="236"/>
      <c r="ER18" s="236"/>
      <c r="ES18" s="236"/>
      <c r="ET18" s="236"/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36"/>
      <c r="FJ18" s="236"/>
      <c r="FK18" s="236"/>
      <c r="FL18" s="236"/>
      <c r="FM18" s="236"/>
      <c r="FN18" s="236"/>
      <c r="FO18" s="236"/>
      <c r="FP18" s="236"/>
      <c r="FQ18" s="236"/>
      <c r="FR18" s="236"/>
      <c r="FS18" s="236"/>
      <c r="FT18" s="236"/>
      <c r="FU18" s="236"/>
      <c r="FV18" s="236"/>
      <c r="FW18" s="236"/>
      <c r="FX18" s="236"/>
      <c r="FY18" s="236"/>
      <c r="FZ18" s="236"/>
      <c r="GA18" s="236"/>
      <c r="GB18" s="236"/>
      <c r="GC18" s="236"/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6"/>
      <c r="GO18" s="236"/>
      <c r="GP18" s="236"/>
      <c r="GQ18" s="236"/>
      <c r="GR18" s="236"/>
      <c r="GS18" s="236"/>
      <c r="GT18" s="236"/>
      <c r="GU18" s="236"/>
      <c r="GV18" s="236"/>
      <c r="GW18" s="236"/>
      <c r="GX18" s="236"/>
      <c r="GY18" s="236"/>
      <c r="GZ18" s="236"/>
      <c r="HA18" s="236"/>
      <c r="HB18" s="236"/>
      <c r="HC18" s="236"/>
      <c r="HD18" s="236"/>
      <c r="HE18" s="236"/>
      <c r="HF18" s="236"/>
      <c r="HG18" s="236"/>
      <c r="HH18" s="236"/>
      <c r="HI18" s="236"/>
      <c r="HJ18" s="236"/>
      <c r="HK18" s="236"/>
      <c r="HL18" s="236"/>
      <c r="HM18" s="236"/>
      <c r="HN18" s="236"/>
      <c r="HO18" s="236"/>
      <c r="HP18" s="236"/>
      <c r="HQ18" s="236"/>
      <c r="HR18" s="236"/>
      <c r="HS18" s="236"/>
      <c r="HT18" s="236"/>
      <c r="HU18" s="236"/>
      <c r="HV18" s="236"/>
      <c r="HW18" s="236"/>
      <c r="HX18" s="236"/>
      <c r="HY18" s="236"/>
      <c r="HZ18" s="236"/>
      <c r="IA18" s="236"/>
      <c r="IB18" s="236"/>
      <c r="IC18" s="236"/>
      <c r="ID18" s="236"/>
      <c r="IE18" s="236"/>
      <c r="IF18" s="236"/>
      <c r="IG18" s="236"/>
      <c r="IH18" s="236"/>
      <c r="II18" s="236"/>
      <c r="IJ18" s="236"/>
      <c r="IK18" s="236"/>
      <c r="IL18" s="236"/>
      <c r="IM18" s="236"/>
      <c r="IN18" s="236"/>
      <c r="IO18" s="236"/>
      <c r="IP18" s="236"/>
      <c r="IQ18" s="236"/>
      <c r="IR18" s="236"/>
      <c r="IS18" s="236"/>
      <c r="IT18" s="236"/>
      <c r="IU18" s="236"/>
      <c r="IV18" s="236"/>
    </row>
    <row r="19" spans="1:256" ht="33.75" customHeight="1">
      <c r="A19" s="279" t="s">
        <v>478</v>
      </c>
      <c r="B19" s="242" t="s">
        <v>256</v>
      </c>
      <c r="C19" s="252">
        <f>ROUND(4599*1.05*1.05*1.05,0)</f>
        <v>5324</v>
      </c>
      <c r="D19" s="252">
        <f>C19*3.666667</f>
        <v>19521.335108</v>
      </c>
      <c r="E19" s="252">
        <f>(C19+D19)*1.5</f>
        <v>37268.002662</v>
      </c>
      <c r="F19" s="253">
        <f>1+1</f>
        <v>2</v>
      </c>
      <c r="G19" s="252">
        <f>(C19+D19+E19)*F19</f>
        <v>124226.67554</v>
      </c>
      <c r="H19" s="252">
        <f>G19*12</f>
        <v>1490720.10648</v>
      </c>
      <c r="I19" s="252"/>
      <c r="J19" s="252">
        <f>I19*4.666667</f>
        <v>0</v>
      </c>
      <c r="K19" s="252">
        <f>(I19+J19)*1.5</f>
        <v>0</v>
      </c>
      <c r="L19" s="280" t="s">
        <v>3</v>
      </c>
      <c r="M19" s="252">
        <f>(J19+K19+I19)*F19</f>
        <v>0</v>
      </c>
      <c r="N19" s="254">
        <f>M19*3</f>
        <v>0</v>
      </c>
      <c r="O19" s="252">
        <f>H19*0.28</f>
        <v>417401.62981440005</v>
      </c>
      <c r="P19" s="252">
        <f>O19+H19</f>
        <v>1908121.7362944002</v>
      </c>
      <c r="Q19" s="281"/>
      <c r="R19" s="281"/>
      <c r="S19" s="282"/>
      <c r="T19" s="290"/>
      <c r="U19" s="290"/>
      <c r="V19" s="290"/>
      <c r="W19" s="291"/>
      <c r="X19" s="292"/>
      <c r="Y19" s="293"/>
      <c r="Z19" s="292"/>
      <c r="AA19" s="236"/>
      <c r="AB19" s="236"/>
      <c r="AC19" s="236"/>
      <c r="AD19" s="236"/>
      <c r="AE19" s="236"/>
      <c r="AF19" s="236"/>
      <c r="AG19" s="28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/>
      <c r="DM19" s="236"/>
      <c r="DN19" s="236"/>
      <c r="DO19" s="236"/>
      <c r="DP19" s="236"/>
      <c r="DQ19" s="236"/>
      <c r="DR19" s="236"/>
      <c r="DS19" s="236"/>
      <c r="DT19" s="236"/>
      <c r="DU19" s="236"/>
      <c r="DV19" s="236"/>
      <c r="DW19" s="236"/>
      <c r="DX19" s="236"/>
      <c r="DY19" s="236"/>
      <c r="DZ19" s="236"/>
      <c r="EA19" s="236"/>
      <c r="EB19" s="236"/>
      <c r="EC19" s="236"/>
      <c r="ED19" s="236"/>
      <c r="EE19" s="236"/>
      <c r="EF19" s="236"/>
      <c r="EG19" s="236"/>
      <c r="EH19" s="236"/>
      <c r="EI19" s="236"/>
      <c r="EJ19" s="236"/>
      <c r="EK19" s="236"/>
      <c r="EL19" s="236"/>
      <c r="EM19" s="236"/>
      <c r="EN19" s="236"/>
      <c r="EO19" s="236"/>
      <c r="EP19" s="236"/>
      <c r="EQ19" s="236"/>
      <c r="ER19" s="236"/>
      <c r="ES19" s="236"/>
      <c r="ET19" s="236"/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36"/>
      <c r="FJ19" s="236"/>
      <c r="FK19" s="236"/>
      <c r="FL19" s="236"/>
      <c r="FM19" s="236"/>
      <c r="FN19" s="236"/>
      <c r="FO19" s="236"/>
      <c r="FP19" s="236"/>
      <c r="FQ19" s="236"/>
      <c r="FR19" s="236"/>
      <c r="FS19" s="236"/>
      <c r="FT19" s="236"/>
      <c r="FU19" s="236"/>
      <c r="FV19" s="236"/>
      <c r="FW19" s="236"/>
      <c r="FX19" s="236"/>
      <c r="FY19" s="236"/>
      <c r="FZ19" s="236"/>
      <c r="GA19" s="236"/>
      <c r="GB19" s="236"/>
      <c r="GC19" s="236"/>
      <c r="GD19" s="236"/>
      <c r="GE19" s="236"/>
      <c r="GF19" s="236"/>
      <c r="GG19" s="236"/>
      <c r="GH19" s="236"/>
      <c r="GI19" s="236"/>
      <c r="GJ19" s="236"/>
      <c r="GK19" s="236"/>
      <c r="GL19" s="236"/>
      <c r="GM19" s="236"/>
      <c r="GN19" s="236"/>
      <c r="GO19" s="236"/>
      <c r="GP19" s="236"/>
      <c r="GQ19" s="236"/>
      <c r="GR19" s="236"/>
      <c r="GS19" s="236"/>
      <c r="GT19" s="236"/>
      <c r="GU19" s="236"/>
      <c r="GV19" s="236"/>
      <c r="GW19" s="236"/>
      <c r="GX19" s="236"/>
      <c r="GY19" s="236"/>
      <c r="GZ19" s="236"/>
      <c r="HA19" s="236"/>
      <c r="HB19" s="236"/>
      <c r="HC19" s="236"/>
      <c r="HD19" s="236"/>
      <c r="HE19" s="236"/>
      <c r="HF19" s="236"/>
      <c r="HG19" s="236"/>
      <c r="HH19" s="236"/>
      <c r="HI19" s="236"/>
      <c r="HJ19" s="236"/>
      <c r="HK19" s="236"/>
      <c r="HL19" s="236"/>
      <c r="HM19" s="236"/>
      <c r="HN19" s="236"/>
      <c r="HO19" s="236"/>
      <c r="HP19" s="236"/>
      <c r="HQ19" s="236"/>
      <c r="HR19" s="236"/>
      <c r="HS19" s="236"/>
      <c r="HT19" s="236"/>
      <c r="HU19" s="236"/>
      <c r="HV19" s="236"/>
      <c r="HW19" s="236"/>
      <c r="HX19" s="236"/>
      <c r="HY19" s="236"/>
      <c r="HZ19" s="236"/>
      <c r="IA19" s="236"/>
      <c r="IB19" s="236"/>
      <c r="IC19" s="236"/>
      <c r="ID19" s="236"/>
      <c r="IE19" s="236"/>
      <c r="IF19" s="236"/>
      <c r="IG19" s="236"/>
      <c r="IH19" s="236"/>
      <c r="II19" s="236"/>
      <c r="IJ19" s="236"/>
      <c r="IK19" s="236"/>
      <c r="IL19" s="236"/>
      <c r="IM19" s="236"/>
      <c r="IN19" s="236"/>
      <c r="IO19" s="236"/>
      <c r="IP19" s="236"/>
      <c r="IQ19" s="236"/>
      <c r="IR19" s="236"/>
      <c r="IS19" s="236"/>
      <c r="IT19" s="236"/>
      <c r="IU19" s="236"/>
      <c r="IV19" s="236"/>
    </row>
    <row r="20" spans="1:256" ht="17.25" thickBot="1">
      <c r="A20" s="265" t="s">
        <v>181</v>
      </c>
      <c r="B20" s="266"/>
      <c r="C20" s="267"/>
      <c r="D20" s="267"/>
      <c r="E20" s="267"/>
      <c r="F20" s="268">
        <f>SUM(F19:F19)</f>
        <v>2</v>
      </c>
      <c r="G20" s="267">
        <f>SUM(G19:G19)</f>
        <v>124226.67554</v>
      </c>
      <c r="H20" s="267">
        <f aca="true" t="shared" si="9" ref="H20:N20">SUM(H19:H19)</f>
        <v>1490720.10648</v>
      </c>
      <c r="I20" s="267">
        <f t="shared" si="9"/>
        <v>0</v>
      </c>
      <c r="J20" s="267">
        <f t="shared" si="9"/>
        <v>0</v>
      </c>
      <c r="K20" s="267">
        <f t="shared" si="9"/>
        <v>0</v>
      </c>
      <c r="L20" s="267">
        <f t="shared" si="9"/>
        <v>0</v>
      </c>
      <c r="M20" s="267">
        <f t="shared" si="9"/>
        <v>0</v>
      </c>
      <c r="N20" s="267">
        <f t="shared" si="9"/>
        <v>0</v>
      </c>
      <c r="O20" s="267">
        <f>SUM(O19:O19)</f>
        <v>417401.62981440005</v>
      </c>
      <c r="P20" s="267">
        <f>SUM(P19:P19)</f>
        <v>1908121.7362944002</v>
      </c>
      <c r="Q20" s="269">
        <f>P20/1000</f>
        <v>1908.1217362944</v>
      </c>
      <c r="R20" s="269">
        <f>(121+57.5)*1.05</f>
        <v>187.425</v>
      </c>
      <c r="S20" s="270">
        <f>35.5*1.05</f>
        <v>37.275</v>
      </c>
      <c r="T20" s="271">
        <f>51.6*1.055</f>
        <v>54.437999999999995</v>
      </c>
      <c r="U20" s="271">
        <v>60</v>
      </c>
      <c r="V20" s="271">
        <v>177</v>
      </c>
      <c r="W20" s="272">
        <v>30</v>
      </c>
      <c r="X20" s="273">
        <v>2454.3</v>
      </c>
      <c r="Y20" s="274">
        <v>2463</v>
      </c>
      <c r="Z20" s="275">
        <v>2470</v>
      </c>
      <c r="AA20" s="276"/>
      <c r="AB20" s="276"/>
      <c r="AC20" s="276"/>
      <c r="AD20" s="276"/>
      <c r="AE20" s="276"/>
      <c r="AF20" s="276"/>
      <c r="AG20" s="278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/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6"/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/>
      <c r="GC20" s="236"/>
      <c r="GD20" s="236"/>
      <c r="GE20" s="236"/>
      <c r="GF20" s="236"/>
      <c r="GG20" s="236"/>
      <c r="GH20" s="236"/>
      <c r="GI20" s="236"/>
      <c r="GJ20" s="236"/>
      <c r="GK20" s="236"/>
      <c r="GL20" s="236"/>
      <c r="GM20" s="236"/>
      <c r="GN20" s="236"/>
      <c r="GO20" s="236"/>
      <c r="GP20" s="236"/>
      <c r="GQ20" s="236"/>
      <c r="GR20" s="236"/>
      <c r="GS20" s="236"/>
      <c r="GT20" s="236"/>
      <c r="GU20" s="236"/>
      <c r="GV20" s="236"/>
      <c r="GW20" s="236"/>
      <c r="GX20" s="236"/>
      <c r="GY20" s="236"/>
      <c r="GZ20" s="236"/>
      <c r="HA20" s="236"/>
      <c r="HB20" s="236"/>
      <c r="HC20" s="236"/>
      <c r="HD20" s="236"/>
      <c r="HE20" s="236"/>
      <c r="HF20" s="236"/>
      <c r="HG20" s="236"/>
      <c r="HH20" s="236"/>
      <c r="HI20" s="236"/>
      <c r="HJ20" s="236"/>
      <c r="HK20" s="236"/>
      <c r="HL20" s="236"/>
      <c r="HM20" s="236"/>
      <c r="HN20" s="236"/>
      <c r="HO20" s="236"/>
      <c r="HP20" s="236"/>
      <c r="HQ20" s="236"/>
      <c r="HR20" s="236"/>
      <c r="HS20" s="236"/>
      <c r="HT20" s="236"/>
      <c r="HU20" s="236"/>
      <c r="HV20" s="236"/>
      <c r="HW20" s="236"/>
      <c r="HX20" s="236"/>
      <c r="HY20" s="236"/>
      <c r="HZ20" s="236"/>
      <c r="IA20" s="236"/>
      <c r="IB20" s="236"/>
      <c r="IC20" s="236"/>
      <c r="ID20" s="236"/>
      <c r="IE20" s="236"/>
      <c r="IF20" s="236"/>
      <c r="IG20" s="236"/>
      <c r="IH20" s="236"/>
      <c r="II20" s="236"/>
      <c r="IJ20" s="236"/>
      <c r="IK20" s="236"/>
      <c r="IL20" s="236"/>
      <c r="IM20" s="236"/>
      <c r="IN20" s="236"/>
      <c r="IO20" s="236"/>
      <c r="IP20" s="236"/>
      <c r="IQ20" s="236"/>
      <c r="IR20" s="236"/>
      <c r="IS20" s="236"/>
      <c r="IT20" s="236"/>
      <c r="IU20" s="236"/>
      <c r="IV20" s="236"/>
    </row>
    <row r="21" spans="1:256" ht="17.25" thickBot="1">
      <c r="A21" s="699"/>
      <c r="B21" s="700"/>
      <c r="C21" s="261"/>
      <c r="D21" s="261"/>
      <c r="E21" s="261"/>
      <c r="F21" s="262"/>
      <c r="G21" s="261"/>
      <c r="H21" s="261"/>
      <c r="I21" s="261"/>
      <c r="J21" s="261"/>
      <c r="K21" s="261"/>
      <c r="L21" s="701"/>
      <c r="M21" s="261"/>
      <c r="N21" s="261"/>
      <c r="O21" s="261"/>
      <c r="P21" s="261"/>
      <c r="Q21" s="281"/>
      <c r="R21" s="281"/>
      <c r="S21" s="282"/>
      <c r="T21" s="263"/>
      <c r="U21" s="263"/>
      <c r="V21" s="263"/>
      <c r="W21" s="264"/>
      <c r="X21" s="702"/>
      <c r="Y21" s="703"/>
      <c r="Z21" s="704"/>
      <c r="AA21" s="276"/>
      <c r="AB21" s="276"/>
      <c r="AC21" s="277"/>
      <c r="AD21" s="277"/>
      <c r="AE21" s="277"/>
      <c r="AF21" s="277"/>
      <c r="AG21" s="278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6"/>
      <c r="DN21" s="236"/>
      <c r="DO21" s="236"/>
      <c r="DP21" s="236"/>
      <c r="DQ21" s="236"/>
      <c r="DR21" s="236"/>
      <c r="DS21" s="236"/>
      <c r="DT21" s="236"/>
      <c r="DU21" s="236"/>
      <c r="DV21" s="236"/>
      <c r="DW21" s="236"/>
      <c r="DX21" s="236"/>
      <c r="DY21" s="236"/>
      <c r="DZ21" s="236"/>
      <c r="EA21" s="236"/>
      <c r="EB21" s="236"/>
      <c r="EC21" s="236"/>
      <c r="ED21" s="236"/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6"/>
      <c r="EU21" s="236"/>
      <c r="EV21" s="236"/>
      <c r="EW21" s="236"/>
      <c r="EX21" s="236"/>
      <c r="EY21" s="236"/>
      <c r="EZ21" s="236"/>
      <c r="FA21" s="236"/>
      <c r="FB21" s="236"/>
      <c r="FC21" s="236"/>
      <c r="FD21" s="236"/>
      <c r="FE21" s="236"/>
      <c r="FF21" s="236"/>
      <c r="FG21" s="236"/>
      <c r="FH21" s="236"/>
      <c r="FI21" s="236"/>
      <c r="FJ21" s="236"/>
      <c r="FK21" s="236"/>
      <c r="FL21" s="236"/>
      <c r="FM21" s="236"/>
      <c r="FN21" s="236"/>
      <c r="FO21" s="236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6"/>
      <c r="GA21" s="236"/>
      <c r="GB21" s="236"/>
      <c r="GC21" s="236"/>
      <c r="GD21" s="236"/>
      <c r="GE21" s="236"/>
      <c r="GF21" s="236"/>
      <c r="GG21" s="236"/>
      <c r="GH21" s="236"/>
      <c r="GI21" s="236"/>
      <c r="GJ21" s="236"/>
      <c r="GK21" s="236"/>
      <c r="GL21" s="236"/>
      <c r="GM21" s="236"/>
      <c r="GN21" s="236"/>
      <c r="GO21" s="236"/>
      <c r="GP21" s="236"/>
      <c r="GQ21" s="236"/>
      <c r="GR21" s="236"/>
      <c r="GS21" s="236"/>
      <c r="GT21" s="236"/>
      <c r="GU21" s="236"/>
      <c r="GV21" s="236"/>
      <c r="GW21" s="236"/>
      <c r="GX21" s="236"/>
      <c r="GY21" s="236"/>
      <c r="GZ21" s="236"/>
      <c r="HA21" s="236"/>
      <c r="HB21" s="236"/>
      <c r="HC21" s="236"/>
      <c r="HD21" s="236"/>
      <c r="HE21" s="236"/>
      <c r="HF21" s="236"/>
      <c r="HG21" s="236"/>
      <c r="HH21" s="236"/>
      <c r="HI21" s="236"/>
      <c r="HJ21" s="236"/>
      <c r="HK21" s="236"/>
      <c r="HL21" s="236"/>
      <c r="HM21" s="236"/>
      <c r="HN21" s="236"/>
      <c r="HO21" s="236"/>
      <c r="HP21" s="236"/>
      <c r="HQ21" s="236"/>
      <c r="HR21" s="236"/>
      <c r="HS21" s="236"/>
      <c r="HT21" s="236"/>
      <c r="HU21" s="236"/>
      <c r="HV21" s="236"/>
      <c r="HW21" s="236"/>
      <c r="HX21" s="236"/>
      <c r="HY21" s="236"/>
      <c r="HZ21" s="236"/>
      <c r="IA21" s="236"/>
      <c r="IB21" s="236"/>
      <c r="IC21" s="236"/>
      <c r="ID21" s="236"/>
      <c r="IE21" s="236"/>
      <c r="IF21" s="236"/>
      <c r="IG21" s="236"/>
      <c r="IH21" s="236"/>
      <c r="II21" s="236"/>
      <c r="IJ21" s="236"/>
      <c r="IK21" s="236"/>
      <c r="IL21" s="236"/>
      <c r="IM21" s="236"/>
      <c r="IN21" s="236"/>
      <c r="IO21" s="236"/>
      <c r="IP21" s="236"/>
      <c r="IQ21" s="236"/>
      <c r="IR21" s="236"/>
      <c r="IS21" s="236"/>
      <c r="IT21" s="236"/>
      <c r="IU21" s="236"/>
      <c r="IV21" s="236"/>
    </row>
    <row r="22" spans="1:256" ht="16.5" customHeight="1">
      <c r="A22" s="1426" t="s">
        <v>0</v>
      </c>
      <c r="B22" s="242" t="s">
        <v>255</v>
      </c>
      <c r="C22" s="252">
        <f>ROUND(5015*1.05*1.05*1.05,0)</f>
        <v>5805</v>
      </c>
      <c r="D22" s="252">
        <f>C22*3.666667</f>
        <v>21285.001935</v>
      </c>
      <c r="E22" s="252">
        <f>(C22+D22)*1.5</f>
        <v>40635.0029025</v>
      </c>
      <c r="F22" s="253">
        <v>1</v>
      </c>
      <c r="G22" s="252">
        <f>(C22+D22+E22)*F22</f>
        <v>67725.00483749999</v>
      </c>
      <c r="H22" s="252">
        <f>G22*12</f>
        <v>812700.0580499999</v>
      </c>
      <c r="I22" s="252"/>
      <c r="J22" s="252">
        <f>I22*4.666667</f>
        <v>0</v>
      </c>
      <c r="K22" s="252">
        <f>(I22+J22)*1.5</f>
        <v>0</v>
      </c>
      <c r="L22" s="1424" t="s">
        <v>0</v>
      </c>
      <c r="M22" s="252">
        <f>(J22+K22+I22)*F22</f>
        <v>0</v>
      </c>
      <c r="N22" s="254">
        <f>M22*3</f>
        <v>0</v>
      </c>
      <c r="O22" s="252">
        <f>H22*0.28</f>
        <v>227556.016254</v>
      </c>
      <c r="P22" s="252">
        <f>O22+H22</f>
        <v>1040256.0743039999</v>
      </c>
      <c r="Q22" s="281"/>
      <c r="R22" s="281"/>
      <c r="S22" s="282"/>
      <c r="T22" s="263"/>
      <c r="U22" s="263"/>
      <c r="V22" s="263"/>
      <c r="W22" s="264"/>
      <c r="X22" s="283"/>
      <c r="Y22" s="284"/>
      <c r="Z22" s="285"/>
      <c r="AA22" s="236"/>
      <c r="AB22" s="236"/>
      <c r="AC22" s="236"/>
      <c r="AD22" s="236"/>
      <c r="AE22" s="236"/>
      <c r="AF22" s="236"/>
      <c r="AG22" s="28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/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/>
      <c r="CV22" s="236"/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236"/>
      <c r="DK22" s="236"/>
      <c r="DL22" s="236"/>
      <c r="DM22" s="236"/>
      <c r="DN22" s="236"/>
      <c r="DO22" s="236"/>
      <c r="DP22" s="236"/>
      <c r="DQ22" s="236"/>
      <c r="DR22" s="236"/>
      <c r="DS22" s="236"/>
      <c r="DT22" s="236"/>
      <c r="DU22" s="236"/>
      <c r="DV22" s="236"/>
      <c r="DW22" s="236"/>
      <c r="DX22" s="236"/>
      <c r="DY22" s="236"/>
      <c r="DZ22" s="236"/>
      <c r="EA22" s="236"/>
      <c r="EB22" s="236"/>
      <c r="EC22" s="236"/>
      <c r="ED22" s="236"/>
      <c r="EE22" s="236"/>
      <c r="EF22" s="236"/>
      <c r="EG22" s="236"/>
      <c r="EH22" s="236"/>
      <c r="EI22" s="236"/>
      <c r="EJ22" s="236"/>
      <c r="EK22" s="236"/>
      <c r="EL22" s="236"/>
      <c r="EM22" s="236"/>
      <c r="EN22" s="236"/>
      <c r="EO22" s="236"/>
      <c r="EP22" s="236"/>
      <c r="EQ22" s="236"/>
      <c r="ER22" s="236"/>
      <c r="ES22" s="236"/>
      <c r="ET22" s="236"/>
      <c r="EU22" s="236"/>
      <c r="EV22" s="236"/>
      <c r="EW22" s="236"/>
      <c r="EX22" s="236"/>
      <c r="EY22" s="236"/>
      <c r="EZ22" s="236"/>
      <c r="FA22" s="236"/>
      <c r="FB22" s="236"/>
      <c r="FC22" s="236"/>
      <c r="FD22" s="236"/>
      <c r="FE22" s="236"/>
      <c r="FF22" s="236"/>
      <c r="FG22" s="236"/>
      <c r="FH22" s="236"/>
      <c r="FI22" s="236"/>
      <c r="FJ22" s="236"/>
      <c r="FK22" s="236"/>
      <c r="FL22" s="236"/>
      <c r="FM22" s="236"/>
      <c r="FN22" s="236"/>
      <c r="FO22" s="236"/>
      <c r="FP22" s="236"/>
      <c r="FQ22" s="236"/>
      <c r="FR22" s="236"/>
      <c r="FS22" s="236"/>
      <c r="FT22" s="236"/>
      <c r="FU22" s="236"/>
      <c r="FV22" s="236"/>
      <c r="FW22" s="236"/>
      <c r="FX22" s="236"/>
      <c r="FY22" s="236"/>
      <c r="FZ22" s="236"/>
      <c r="GA22" s="236"/>
      <c r="GB22" s="236"/>
      <c r="GC22" s="236"/>
      <c r="GD22" s="236"/>
      <c r="GE22" s="236"/>
      <c r="GF22" s="236"/>
      <c r="GG22" s="236"/>
      <c r="GH22" s="236"/>
      <c r="GI22" s="236"/>
      <c r="GJ22" s="236"/>
      <c r="GK22" s="236"/>
      <c r="GL22" s="236"/>
      <c r="GM22" s="236"/>
      <c r="GN22" s="236"/>
      <c r="GO22" s="236"/>
      <c r="GP22" s="236"/>
      <c r="GQ22" s="236"/>
      <c r="GR22" s="236"/>
      <c r="GS22" s="236"/>
      <c r="GT22" s="236"/>
      <c r="GU22" s="236"/>
      <c r="GV22" s="236"/>
      <c r="GW22" s="236"/>
      <c r="GX22" s="236"/>
      <c r="GY22" s="236"/>
      <c r="GZ22" s="236"/>
      <c r="HA22" s="236"/>
      <c r="HB22" s="236"/>
      <c r="HC22" s="236"/>
      <c r="HD22" s="236"/>
      <c r="HE22" s="236"/>
      <c r="HF22" s="236"/>
      <c r="HG22" s="236"/>
      <c r="HH22" s="236"/>
      <c r="HI22" s="236"/>
      <c r="HJ22" s="236"/>
      <c r="HK22" s="236"/>
      <c r="HL22" s="236"/>
      <c r="HM22" s="236"/>
      <c r="HN22" s="236"/>
      <c r="HO22" s="236"/>
      <c r="HP22" s="236"/>
      <c r="HQ22" s="236"/>
      <c r="HR22" s="236"/>
      <c r="HS22" s="236"/>
      <c r="HT22" s="236"/>
      <c r="HU22" s="236"/>
      <c r="HV22" s="236"/>
      <c r="HW22" s="236"/>
      <c r="HX22" s="236"/>
      <c r="HY22" s="236"/>
      <c r="HZ22" s="236"/>
      <c r="IA22" s="236"/>
      <c r="IB22" s="236"/>
      <c r="IC22" s="236"/>
      <c r="ID22" s="236"/>
      <c r="IE22" s="236"/>
      <c r="IF22" s="236"/>
      <c r="IG22" s="236"/>
      <c r="IH22" s="236"/>
      <c r="II22" s="236"/>
      <c r="IJ22" s="236"/>
      <c r="IK22" s="236"/>
      <c r="IL22" s="236"/>
      <c r="IM22" s="236"/>
      <c r="IN22" s="236"/>
      <c r="IO22" s="236"/>
      <c r="IP22" s="236"/>
      <c r="IQ22" s="236"/>
      <c r="IR22" s="236"/>
      <c r="IS22" s="236"/>
      <c r="IT22" s="236"/>
      <c r="IU22" s="236"/>
      <c r="IV22" s="236"/>
    </row>
    <row r="23" spans="1:256" ht="16.5">
      <c r="A23" s="1427"/>
      <c r="B23" s="251" t="s">
        <v>256</v>
      </c>
      <c r="C23" s="252">
        <f>ROUND(4599*1.05*1.05*1.05,0)</f>
        <v>5324</v>
      </c>
      <c r="D23" s="252">
        <f>C23*3.666667</f>
        <v>19521.335108</v>
      </c>
      <c r="E23" s="252">
        <f>(C23+D23)*1.5</f>
        <v>37268.002662</v>
      </c>
      <c r="F23" s="253">
        <f>1+1</f>
        <v>2</v>
      </c>
      <c r="G23" s="252">
        <f>(C23+D23+E23)*F23</f>
        <v>124226.67554</v>
      </c>
      <c r="H23" s="252">
        <f>G23*12</f>
        <v>1490720.10648</v>
      </c>
      <c r="I23" s="252"/>
      <c r="J23" s="252">
        <f>I23*4.666667</f>
        <v>0</v>
      </c>
      <c r="K23" s="252">
        <f>(I23+J23)*1.5</f>
        <v>0</v>
      </c>
      <c r="L23" s="1425"/>
      <c r="M23" s="252">
        <f>(J23+K23+I23)*F23</f>
        <v>0</v>
      </c>
      <c r="N23" s="254">
        <f>M23*3</f>
        <v>0</v>
      </c>
      <c r="O23" s="252">
        <f>H23*0.28</f>
        <v>417401.62981440005</v>
      </c>
      <c r="P23" s="252">
        <f>O23+H23</f>
        <v>1908121.7362944002</v>
      </c>
      <c r="Q23" s="255"/>
      <c r="R23" s="255"/>
      <c r="S23" s="255"/>
      <c r="T23" s="256"/>
      <c r="U23" s="256"/>
      <c r="V23" s="256"/>
      <c r="W23" s="257"/>
      <c r="X23" s="287"/>
      <c r="Y23" s="288"/>
      <c r="Z23" s="287"/>
      <c r="AA23" s="236"/>
      <c r="AB23" s="236"/>
      <c r="AC23" s="236"/>
      <c r="AD23" s="236"/>
      <c r="AE23" s="236"/>
      <c r="AF23" s="236"/>
      <c r="AG23" s="28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/>
      <c r="DZ23" s="236"/>
      <c r="EA23" s="236"/>
      <c r="EB23" s="236"/>
      <c r="EC23" s="236"/>
      <c r="ED23" s="236"/>
      <c r="EE23" s="236"/>
      <c r="EF23" s="236"/>
      <c r="EG23" s="236"/>
      <c r="EH23" s="236"/>
      <c r="EI23" s="236"/>
      <c r="EJ23" s="236"/>
      <c r="EK23" s="236"/>
      <c r="EL23" s="236"/>
      <c r="EM23" s="236"/>
      <c r="EN23" s="236"/>
      <c r="EO23" s="236"/>
      <c r="EP23" s="236"/>
      <c r="EQ23" s="236"/>
      <c r="ER23" s="236"/>
      <c r="ES23" s="236"/>
      <c r="ET23" s="236"/>
      <c r="EU23" s="236"/>
      <c r="EV23" s="236"/>
      <c r="EW23" s="236"/>
      <c r="EX23" s="236"/>
      <c r="EY23" s="236"/>
      <c r="EZ23" s="236"/>
      <c r="FA23" s="236"/>
      <c r="FB23" s="236"/>
      <c r="FC23" s="236"/>
      <c r="FD23" s="236"/>
      <c r="FE23" s="236"/>
      <c r="FF23" s="236"/>
      <c r="FG23" s="236"/>
      <c r="FH23" s="236"/>
      <c r="FI23" s="236"/>
      <c r="FJ23" s="236"/>
      <c r="FK23" s="236"/>
      <c r="FL23" s="236"/>
      <c r="FM23" s="236"/>
      <c r="FN23" s="236"/>
      <c r="FO23" s="236"/>
      <c r="FP23" s="236"/>
      <c r="FQ23" s="236"/>
      <c r="FR23" s="236"/>
      <c r="FS23" s="236"/>
      <c r="FT23" s="236"/>
      <c r="FU23" s="236"/>
      <c r="FV23" s="236"/>
      <c r="FW23" s="236"/>
      <c r="FX23" s="236"/>
      <c r="FY23" s="236"/>
      <c r="FZ23" s="236"/>
      <c r="GA23" s="236"/>
      <c r="GB23" s="236"/>
      <c r="GC23" s="236"/>
      <c r="GD23" s="236"/>
      <c r="GE23" s="236"/>
      <c r="GF23" s="236"/>
      <c r="GG23" s="236"/>
      <c r="GH23" s="236"/>
      <c r="GI23" s="236"/>
      <c r="GJ23" s="236"/>
      <c r="GK23" s="236"/>
      <c r="GL23" s="236"/>
      <c r="GM23" s="236"/>
      <c r="GN23" s="236"/>
      <c r="GO23" s="236"/>
      <c r="GP23" s="236"/>
      <c r="GQ23" s="236"/>
      <c r="GR23" s="236"/>
      <c r="GS23" s="236"/>
      <c r="GT23" s="236"/>
      <c r="GU23" s="236"/>
      <c r="GV23" s="236"/>
      <c r="GW23" s="236"/>
      <c r="GX23" s="236"/>
      <c r="GY23" s="236"/>
      <c r="GZ23" s="236"/>
      <c r="HA23" s="236"/>
      <c r="HB23" s="236"/>
      <c r="HC23" s="236"/>
      <c r="HD23" s="236"/>
      <c r="HE23" s="236"/>
      <c r="HF23" s="236"/>
      <c r="HG23" s="236"/>
      <c r="HH23" s="236"/>
      <c r="HI23" s="236"/>
      <c r="HJ23" s="236"/>
      <c r="HK23" s="236"/>
      <c r="HL23" s="236"/>
      <c r="HM23" s="236"/>
      <c r="HN23" s="236"/>
      <c r="HO23" s="236"/>
      <c r="HP23" s="236"/>
      <c r="HQ23" s="236"/>
      <c r="HR23" s="236"/>
      <c r="HS23" s="236"/>
      <c r="HT23" s="236"/>
      <c r="HU23" s="236"/>
      <c r="HV23" s="236"/>
      <c r="HW23" s="236"/>
      <c r="HX23" s="236"/>
      <c r="HY23" s="236"/>
      <c r="HZ23" s="236"/>
      <c r="IA23" s="236"/>
      <c r="IB23" s="236"/>
      <c r="IC23" s="236"/>
      <c r="ID23" s="236"/>
      <c r="IE23" s="236"/>
      <c r="IF23" s="236"/>
      <c r="IG23" s="236"/>
      <c r="IH23" s="236"/>
      <c r="II23" s="236"/>
      <c r="IJ23" s="236"/>
      <c r="IK23" s="236"/>
      <c r="IL23" s="236"/>
      <c r="IM23" s="236"/>
      <c r="IN23" s="236"/>
      <c r="IO23" s="236"/>
      <c r="IP23" s="236"/>
      <c r="IQ23" s="236"/>
      <c r="IR23" s="236"/>
      <c r="IS23" s="236"/>
      <c r="IT23" s="236"/>
      <c r="IU23" s="236"/>
      <c r="IV23" s="236"/>
    </row>
    <row r="24" spans="1:256" ht="17.25" thickBot="1">
      <c r="A24" s="289" t="s">
        <v>181</v>
      </c>
      <c r="B24" s="266"/>
      <c r="C24" s="267"/>
      <c r="D24" s="267"/>
      <c r="E24" s="267"/>
      <c r="F24" s="268">
        <f>SUM(F22:F23)</f>
        <v>3</v>
      </c>
      <c r="G24" s="267">
        <f>SUM(G22:G23)</f>
        <v>191951.6803775</v>
      </c>
      <c r="H24" s="267">
        <f aca="true" t="shared" si="10" ref="H24:N24">SUM(H22:H23)</f>
        <v>2303420.1645299997</v>
      </c>
      <c r="I24" s="267">
        <f t="shared" si="10"/>
        <v>0</v>
      </c>
      <c r="J24" s="267">
        <f t="shared" si="10"/>
        <v>0</v>
      </c>
      <c r="K24" s="267">
        <f t="shared" si="10"/>
        <v>0</v>
      </c>
      <c r="L24" s="267">
        <f t="shared" si="10"/>
        <v>0</v>
      </c>
      <c r="M24" s="267">
        <f t="shared" si="10"/>
        <v>0</v>
      </c>
      <c r="N24" s="267">
        <f t="shared" si="10"/>
        <v>0</v>
      </c>
      <c r="O24" s="267">
        <f>SUM(O22:O23)</f>
        <v>644957.6460684</v>
      </c>
      <c r="P24" s="267">
        <f>SUM(P22:P23)</f>
        <v>2948377.8105984</v>
      </c>
      <c r="Q24" s="269">
        <f>P24/1000</f>
        <v>2948.3778105984</v>
      </c>
      <c r="R24" s="269">
        <f>96.1*1.055*1.055*1.05</f>
        <v>112.30978762499998</v>
      </c>
      <c r="S24" s="270">
        <f>44.5*1.055*1.05</f>
        <v>49.294875</v>
      </c>
      <c r="T24" s="271">
        <f>54.8*1.055</f>
        <v>57.81399999999999</v>
      </c>
      <c r="U24" s="271">
        <f>27.4*1.055</f>
        <v>28.906999999999996</v>
      </c>
      <c r="V24" s="271">
        <f>119.7*1.055</f>
        <v>126.28349999999999</v>
      </c>
      <c r="W24" s="272">
        <v>32.5</v>
      </c>
      <c r="X24" s="273">
        <v>3355.5</v>
      </c>
      <c r="Y24" s="274">
        <v>3370</v>
      </c>
      <c r="Z24" s="275">
        <v>3378</v>
      </c>
      <c r="AA24" s="276"/>
      <c r="AB24" s="276"/>
      <c r="AC24" s="276"/>
      <c r="AD24" s="276"/>
      <c r="AE24" s="276"/>
      <c r="AF24" s="276"/>
      <c r="AG24" s="278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/>
      <c r="DM24" s="236"/>
      <c r="DN24" s="236"/>
      <c r="DO24" s="236"/>
      <c r="DP24" s="236"/>
      <c r="DQ24" s="236"/>
      <c r="DR24" s="236"/>
      <c r="DS24" s="236"/>
      <c r="DT24" s="236"/>
      <c r="DU24" s="236"/>
      <c r="DV24" s="236"/>
      <c r="DW24" s="236"/>
      <c r="DX24" s="236"/>
      <c r="DY24" s="236"/>
      <c r="DZ24" s="236"/>
      <c r="EA24" s="236"/>
      <c r="EB24" s="236"/>
      <c r="EC24" s="236"/>
      <c r="ED24" s="236"/>
      <c r="EE24" s="236"/>
      <c r="EF24" s="236"/>
      <c r="EG24" s="236"/>
      <c r="EH24" s="236"/>
      <c r="EI24" s="236"/>
      <c r="EJ24" s="236"/>
      <c r="EK24" s="236"/>
      <c r="EL24" s="236"/>
      <c r="EM24" s="236"/>
      <c r="EN24" s="236"/>
      <c r="EO24" s="236"/>
      <c r="EP24" s="236"/>
      <c r="EQ24" s="236"/>
      <c r="ER24" s="236"/>
      <c r="ES24" s="236"/>
      <c r="ET24" s="236"/>
      <c r="EU24" s="236"/>
      <c r="EV24" s="236"/>
      <c r="EW24" s="236"/>
      <c r="EX24" s="236"/>
      <c r="EY24" s="236"/>
      <c r="EZ24" s="236"/>
      <c r="FA24" s="236"/>
      <c r="FB24" s="236"/>
      <c r="FC24" s="236"/>
      <c r="FD24" s="236"/>
      <c r="FE24" s="236"/>
      <c r="FF24" s="236"/>
      <c r="FG24" s="236"/>
      <c r="FH24" s="236"/>
      <c r="FI24" s="236"/>
      <c r="FJ24" s="236"/>
      <c r="FK24" s="236"/>
      <c r="FL24" s="236"/>
      <c r="FM24" s="236"/>
      <c r="FN24" s="236"/>
      <c r="FO24" s="236"/>
      <c r="FP24" s="236"/>
      <c r="FQ24" s="236"/>
      <c r="FR24" s="236"/>
      <c r="FS24" s="236"/>
      <c r="FT24" s="236"/>
      <c r="FU24" s="236"/>
      <c r="FV24" s="236"/>
      <c r="FW24" s="236"/>
      <c r="FX24" s="236"/>
      <c r="FY24" s="236"/>
      <c r="FZ24" s="236"/>
      <c r="GA24" s="236"/>
      <c r="GB24" s="236"/>
      <c r="GC24" s="236"/>
      <c r="GD24" s="236"/>
      <c r="GE24" s="236"/>
      <c r="GF24" s="236"/>
      <c r="GG24" s="236"/>
      <c r="GH24" s="236"/>
      <c r="GI24" s="236"/>
      <c r="GJ24" s="236"/>
      <c r="GK24" s="236"/>
      <c r="GL24" s="236"/>
      <c r="GM24" s="236"/>
      <c r="GN24" s="236"/>
      <c r="GO24" s="236"/>
      <c r="GP24" s="236"/>
      <c r="GQ24" s="236"/>
      <c r="GR24" s="236"/>
      <c r="GS24" s="236"/>
      <c r="GT24" s="236"/>
      <c r="GU24" s="236"/>
      <c r="GV24" s="236"/>
      <c r="GW24" s="236"/>
      <c r="GX24" s="236"/>
      <c r="GY24" s="236"/>
      <c r="GZ24" s="236"/>
      <c r="HA24" s="236"/>
      <c r="HB24" s="236"/>
      <c r="HC24" s="236"/>
      <c r="HD24" s="236"/>
      <c r="HE24" s="236"/>
      <c r="HF24" s="236"/>
      <c r="HG24" s="236"/>
      <c r="HH24" s="236"/>
      <c r="HI24" s="236"/>
      <c r="HJ24" s="236"/>
      <c r="HK24" s="236"/>
      <c r="HL24" s="236"/>
      <c r="HM24" s="236"/>
      <c r="HN24" s="236"/>
      <c r="HO24" s="236"/>
      <c r="HP24" s="236"/>
      <c r="HQ24" s="236"/>
      <c r="HR24" s="236"/>
      <c r="HS24" s="236"/>
      <c r="HT24" s="236"/>
      <c r="HU24" s="236"/>
      <c r="HV24" s="236"/>
      <c r="HW24" s="236"/>
      <c r="HX24" s="236"/>
      <c r="HY24" s="236"/>
      <c r="HZ24" s="236"/>
      <c r="IA24" s="236"/>
      <c r="IB24" s="236"/>
      <c r="IC24" s="236"/>
      <c r="ID24" s="236"/>
      <c r="IE24" s="236"/>
      <c r="IF24" s="236"/>
      <c r="IG24" s="236"/>
      <c r="IH24" s="236"/>
      <c r="II24" s="236"/>
      <c r="IJ24" s="236"/>
      <c r="IK24" s="236"/>
      <c r="IL24" s="236"/>
      <c r="IM24" s="236"/>
      <c r="IN24" s="236"/>
      <c r="IO24" s="236"/>
      <c r="IP24" s="236"/>
      <c r="IQ24" s="236"/>
      <c r="IR24" s="236"/>
      <c r="IS24" s="236"/>
      <c r="IT24" s="236"/>
      <c r="IU24" s="236"/>
      <c r="IV24" s="236"/>
    </row>
    <row r="25" spans="1:256" ht="33.75" customHeight="1">
      <c r="A25" s="279" t="s">
        <v>1</v>
      </c>
      <c r="B25" s="242" t="s">
        <v>256</v>
      </c>
      <c r="C25" s="252">
        <f>ROUND(4599*1.05*1.05*1.05,0)</f>
        <v>5324</v>
      </c>
      <c r="D25" s="252">
        <f>C25*3.666667</f>
        <v>19521.335108</v>
      </c>
      <c r="E25" s="252">
        <f>(C25+D25)*1.7</f>
        <v>42237.0696836</v>
      </c>
      <c r="F25" s="253">
        <f>1+1</f>
        <v>2</v>
      </c>
      <c r="G25" s="252">
        <f>(C25+D25+E25)*F25</f>
        <v>134164.8095832</v>
      </c>
      <c r="H25" s="252">
        <f>G25*12</f>
        <v>1609977.7149983998</v>
      </c>
      <c r="I25" s="252"/>
      <c r="J25" s="252">
        <f>I25*4.666667</f>
        <v>0</v>
      </c>
      <c r="K25" s="252">
        <f>(I25+J25)*1.5</f>
        <v>0</v>
      </c>
      <c r="L25" s="280" t="s">
        <v>1</v>
      </c>
      <c r="M25" s="252">
        <f>(J25+K25+I25)*F25</f>
        <v>0</v>
      </c>
      <c r="N25" s="254">
        <f>M25*3</f>
        <v>0</v>
      </c>
      <c r="O25" s="252">
        <f>H25*0.28</f>
        <v>450793.760199552</v>
      </c>
      <c r="P25" s="252">
        <f>O25+H25</f>
        <v>2060771.4751979518</v>
      </c>
      <c r="Q25" s="281"/>
      <c r="R25" s="281"/>
      <c r="S25" s="282"/>
      <c r="T25" s="290"/>
      <c r="U25" s="290"/>
      <c r="V25" s="290"/>
      <c r="W25" s="291"/>
      <c r="X25" s="292"/>
      <c r="Y25" s="293"/>
      <c r="Z25" s="292"/>
      <c r="AA25" s="236"/>
      <c r="AB25" s="236"/>
      <c r="AC25" s="236"/>
      <c r="AD25" s="236"/>
      <c r="AE25" s="236"/>
      <c r="AF25" s="236"/>
      <c r="AG25" s="28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/>
      <c r="ED25" s="236"/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6"/>
      <c r="EU25" s="236"/>
      <c r="EV25" s="236"/>
      <c r="EW25" s="236"/>
      <c r="EX25" s="236"/>
      <c r="EY25" s="236"/>
      <c r="EZ25" s="236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236"/>
      <c r="FL25" s="236"/>
      <c r="FM25" s="236"/>
      <c r="FN25" s="236"/>
      <c r="FO25" s="236"/>
      <c r="FP25" s="236"/>
      <c r="FQ25" s="236"/>
      <c r="FR25" s="236"/>
      <c r="FS25" s="236"/>
      <c r="FT25" s="236"/>
      <c r="FU25" s="236"/>
      <c r="FV25" s="236"/>
      <c r="FW25" s="236"/>
      <c r="FX25" s="236"/>
      <c r="FY25" s="236"/>
      <c r="FZ25" s="236"/>
      <c r="GA25" s="236"/>
      <c r="GB25" s="236"/>
      <c r="GC25" s="236"/>
      <c r="GD25" s="236"/>
      <c r="GE25" s="236"/>
      <c r="GF25" s="236"/>
      <c r="GG25" s="236"/>
      <c r="GH25" s="236"/>
      <c r="GI25" s="236"/>
      <c r="GJ25" s="236"/>
      <c r="GK25" s="236"/>
      <c r="GL25" s="236"/>
      <c r="GM25" s="236"/>
      <c r="GN25" s="236"/>
      <c r="GO25" s="236"/>
      <c r="GP25" s="236"/>
      <c r="GQ25" s="236"/>
      <c r="GR25" s="236"/>
      <c r="GS25" s="236"/>
      <c r="GT25" s="236"/>
      <c r="GU25" s="236"/>
      <c r="GV25" s="236"/>
      <c r="GW25" s="236"/>
      <c r="GX25" s="236"/>
      <c r="GY25" s="236"/>
      <c r="GZ25" s="236"/>
      <c r="HA25" s="236"/>
      <c r="HB25" s="236"/>
      <c r="HC25" s="236"/>
      <c r="HD25" s="236"/>
      <c r="HE25" s="236"/>
      <c r="HF25" s="236"/>
      <c r="HG25" s="236"/>
      <c r="HH25" s="236"/>
      <c r="HI25" s="236"/>
      <c r="HJ25" s="236"/>
      <c r="HK25" s="236"/>
      <c r="HL25" s="236"/>
      <c r="HM25" s="236"/>
      <c r="HN25" s="236"/>
      <c r="HO25" s="236"/>
      <c r="HP25" s="236"/>
      <c r="HQ25" s="236"/>
      <c r="HR25" s="236"/>
      <c r="HS25" s="236"/>
      <c r="HT25" s="236"/>
      <c r="HU25" s="236"/>
      <c r="HV25" s="236"/>
      <c r="HW25" s="236"/>
      <c r="HX25" s="236"/>
      <c r="HY25" s="236"/>
      <c r="HZ25" s="236"/>
      <c r="IA25" s="236"/>
      <c r="IB25" s="236"/>
      <c r="IC25" s="236"/>
      <c r="ID25" s="236"/>
      <c r="IE25" s="236"/>
      <c r="IF25" s="236"/>
      <c r="IG25" s="236"/>
      <c r="IH25" s="236"/>
      <c r="II25" s="236"/>
      <c r="IJ25" s="236"/>
      <c r="IK25" s="236"/>
      <c r="IL25" s="236"/>
      <c r="IM25" s="236"/>
      <c r="IN25" s="236"/>
      <c r="IO25" s="236"/>
      <c r="IP25" s="236"/>
      <c r="IQ25" s="236"/>
      <c r="IR25" s="236"/>
      <c r="IS25" s="236"/>
      <c r="IT25" s="236"/>
      <c r="IU25" s="236"/>
      <c r="IV25" s="236"/>
    </row>
    <row r="26" spans="1:256" ht="16.5" customHeight="1" thickBot="1">
      <c r="A26" s="265" t="s">
        <v>181</v>
      </c>
      <c r="B26" s="266"/>
      <c r="C26" s="267"/>
      <c r="D26" s="267"/>
      <c r="E26" s="267"/>
      <c r="F26" s="268">
        <f>SUM(F25:F25)</f>
        <v>2</v>
      </c>
      <c r="G26" s="267">
        <f>SUM(G25:G25)</f>
        <v>134164.8095832</v>
      </c>
      <c r="H26" s="267">
        <f aca="true" t="shared" si="11" ref="H26:N26">SUM(H25:H25)</f>
        <v>1609977.7149983998</v>
      </c>
      <c r="I26" s="267">
        <f t="shared" si="11"/>
        <v>0</v>
      </c>
      <c r="J26" s="267">
        <f t="shared" si="11"/>
        <v>0</v>
      </c>
      <c r="K26" s="267">
        <f t="shared" si="11"/>
        <v>0</v>
      </c>
      <c r="L26" s="267">
        <f t="shared" si="11"/>
        <v>0</v>
      </c>
      <c r="M26" s="267">
        <f t="shared" si="11"/>
        <v>0</v>
      </c>
      <c r="N26" s="267">
        <f t="shared" si="11"/>
        <v>0</v>
      </c>
      <c r="O26" s="267">
        <f>SUM(O25:O25)</f>
        <v>450793.760199552</v>
      </c>
      <c r="P26" s="267">
        <f>SUM(P25:P25)</f>
        <v>2060771.4751979518</v>
      </c>
      <c r="Q26" s="269">
        <f>P26/1000</f>
        <v>2060.771475197952</v>
      </c>
      <c r="R26" s="269">
        <f>91.8*1.055*1.055*1.05</f>
        <v>107.28447974999997</v>
      </c>
      <c r="S26" s="270">
        <f>17.9*1.055*1.055*1.05</f>
        <v>20.919304874999995</v>
      </c>
      <c r="T26" s="271">
        <v>0</v>
      </c>
      <c r="U26" s="271">
        <v>0</v>
      </c>
      <c r="V26" s="271">
        <f>15.4*1.055*1.055</f>
        <v>17.140584999999998</v>
      </c>
      <c r="W26" s="272">
        <v>30</v>
      </c>
      <c r="X26" s="273">
        <v>2236.1</v>
      </c>
      <c r="Y26" s="274">
        <v>2245</v>
      </c>
      <c r="Z26" s="275">
        <v>2255</v>
      </c>
      <c r="AA26" s="236"/>
      <c r="AB26" s="276"/>
      <c r="AC26" s="236"/>
      <c r="AD26" s="236"/>
      <c r="AE26" s="236"/>
      <c r="AF26" s="236"/>
      <c r="AG26" s="278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6"/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6"/>
      <c r="DX26" s="236"/>
      <c r="DY26" s="236"/>
      <c r="DZ26" s="236"/>
      <c r="EA26" s="236"/>
      <c r="EB26" s="236"/>
      <c r="EC26" s="236"/>
      <c r="ED26" s="236"/>
      <c r="EE26" s="236"/>
      <c r="EF26" s="236"/>
      <c r="EG26" s="236"/>
      <c r="EH26" s="236"/>
      <c r="EI26" s="236"/>
      <c r="EJ26" s="236"/>
      <c r="EK26" s="236"/>
      <c r="EL26" s="236"/>
      <c r="EM26" s="236"/>
      <c r="EN26" s="236"/>
      <c r="EO26" s="236"/>
      <c r="EP26" s="236"/>
      <c r="EQ26" s="236"/>
      <c r="ER26" s="236"/>
      <c r="ES26" s="236"/>
      <c r="ET26" s="236"/>
      <c r="EU26" s="236"/>
      <c r="EV26" s="236"/>
      <c r="EW26" s="236"/>
      <c r="EX26" s="236"/>
      <c r="EY26" s="236"/>
      <c r="EZ26" s="236"/>
      <c r="FA26" s="236"/>
      <c r="FB26" s="236"/>
      <c r="FC26" s="236"/>
      <c r="FD26" s="236"/>
      <c r="FE26" s="236"/>
      <c r="FF26" s="236"/>
      <c r="FG26" s="236"/>
      <c r="FH26" s="236"/>
      <c r="FI26" s="236"/>
      <c r="FJ26" s="236"/>
      <c r="FK26" s="236"/>
      <c r="FL26" s="236"/>
      <c r="FM26" s="236"/>
      <c r="FN26" s="236"/>
      <c r="FO26" s="236"/>
      <c r="FP26" s="236"/>
      <c r="FQ26" s="236"/>
      <c r="FR26" s="236"/>
      <c r="FS26" s="236"/>
      <c r="FT26" s="236"/>
      <c r="FU26" s="236"/>
      <c r="FV26" s="236"/>
      <c r="FW26" s="236"/>
      <c r="FX26" s="236"/>
      <c r="FY26" s="236"/>
      <c r="FZ26" s="236"/>
      <c r="GA26" s="236"/>
      <c r="GB26" s="236"/>
      <c r="GC26" s="236"/>
      <c r="GD26" s="236"/>
      <c r="GE26" s="236"/>
      <c r="GF26" s="236"/>
      <c r="GG26" s="236"/>
      <c r="GH26" s="236"/>
      <c r="GI26" s="236"/>
      <c r="GJ26" s="236"/>
      <c r="GK26" s="236"/>
      <c r="GL26" s="236"/>
      <c r="GM26" s="236"/>
      <c r="GN26" s="236"/>
      <c r="GO26" s="236"/>
      <c r="GP26" s="236"/>
      <c r="GQ26" s="236"/>
      <c r="GR26" s="236"/>
      <c r="GS26" s="236"/>
      <c r="GT26" s="236"/>
      <c r="GU26" s="236"/>
      <c r="GV26" s="236"/>
      <c r="GW26" s="236"/>
      <c r="GX26" s="236"/>
      <c r="GY26" s="236"/>
      <c r="GZ26" s="236"/>
      <c r="HA26" s="236"/>
      <c r="HB26" s="236"/>
      <c r="HC26" s="236"/>
      <c r="HD26" s="236"/>
      <c r="HE26" s="236"/>
      <c r="HF26" s="236"/>
      <c r="HG26" s="236"/>
      <c r="HH26" s="236"/>
      <c r="HI26" s="236"/>
      <c r="HJ26" s="236"/>
      <c r="HK26" s="236"/>
      <c r="HL26" s="236"/>
      <c r="HM26" s="236"/>
      <c r="HN26" s="236"/>
      <c r="HO26" s="236"/>
      <c r="HP26" s="236"/>
      <c r="HQ26" s="236"/>
      <c r="HR26" s="236"/>
      <c r="HS26" s="236"/>
      <c r="HT26" s="236"/>
      <c r="HU26" s="236"/>
      <c r="HV26" s="236"/>
      <c r="HW26" s="236"/>
      <c r="HX26" s="236"/>
      <c r="HY26" s="236"/>
      <c r="HZ26" s="236"/>
      <c r="IA26" s="236"/>
      <c r="IB26" s="236"/>
      <c r="IC26" s="236"/>
      <c r="ID26" s="236"/>
      <c r="IE26" s="236"/>
      <c r="IF26" s="236"/>
      <c r="IG26" s="236"/>
      <c r="IH26" s="236"/>
      <c r="II26" s="236"/>
      <c r="IJ26" s="236"/>
      <c r="IK26" s="236"/>
      <c r="IL26" s="236"/>
      <c r="IM26" s="236"/>
      <c r="IN26" s="236"/>
      <c r="IO26" s="236"/>
      <c r="IP26" s="236"/>
      <c r="IQ26" s="236"/>
      <c r="IR26" s="236"/>
      <c r="IS26" s="236"/>
      <c r="IT26" s="236"/>
      <c r="IU26" s="236"/>
      <c r="IV26" s="236"/>
    </row>
    <row r="27" spans="1:256" ht="16.5" customHeight="1">
      <c r="A27" s="1426" t="s">
        <v>36</v>
      </c>
      <c r="B27" s="242" t="s">
        <v>255</v>
      </c>
      <c r="C27" s="252">
        <f>ROUND(5015*1.05*1.05*1.05,0)</f>
        <v>5805</v>
      </c>
      <c r="D27" s="252">
        <f>C27*3.666667</f>
        <v>21285.001935</v>
      </c>
      <c r="E27" s="252">
        <f>(C27+D27)*1.5</f>
        <v>40635.0029025</v>
      </c>
      <c r="F27" s="253">
        <v>1</v>
      </c>
      <c r="G27" s="252">
        <f>(C27+D27+E27)*F27</f>
        <v>67725.00483749999</v>
      </c>
      <c r="H27" s="252">
        <f>G27*12</f>
        <v>812700.0580499999</v>
      </c>
      <c r="I27" s="252"/>
      <c r="J27" s="252">
        <f>I27*4.666667</f>
        <v>0</v>
      </c>
      <c r="K27" s="252">
        <f>(I27+J27)*1.5</f>
        <v>0</v>
      </c>
      <c r="L27" s="1424" t="s">
        <v>36</v>
      </c>
      <c r="M27" s="252">
        <f>(J27+K27+I27)*F27</f>
        <v>0</v>
      </c>
      <c r="N27" s="254">
        <f>M27*3</f>
        <v>0</v>
      </c>
      <c r="O27" s="252">
        <f>H27*0.28</f>
        <v>227556.016254</v>
      </c>
      <c r="P27" s="252">
        <f>O27+H27</f>
        <v>1040256.0743039999</v>
      </c>
      <c r="Q27" s="281"/>
      <c r="R27" s="281"/>
      <c r="S27" s="282"/>
      <c r="T27" s="290"/>
      <c r="U27" s="290"/>
      <c r="V27" s="290"/>
      <c r="W27" s="291"/>
      <c r="X27" s="292"/>
      <c r="Y27" s="293"/>
      <c r="Z27" s="292"/>
      <c r="AA27" s="236"/>
      <c r="AB27" s="236"/>
      <c r="AC27" s="236"/>
      <c r="AD27" s="236"/>
      <c r="AE27" s="236"/>
      <c r="AF27" s="236"/>
      <c r="AG27" s="28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/>
      <c r="DM27" s="236"/>
      <c r="DN27" s="236"/>
      <c r="DO27" s="236"/>
      <c r="DP27" s="236"/>
      <c r="DQ27" s="236"/>
      <c r="DR27" s="236"/>
      <c r="DS27" s="236"/>
      <c r="DT27" s="236"/>
      <c r="DU27" s="236"/>
      <c r="DV27" s="236"/>
      <c r="DW27" s="236"/>
      <c r="DX27" s="236"/>
      <c r="DY27" s="236"/>
      <c r="DZ27" s="236"/>
      <c r="EA27" s="236"/>
      <c r="EB27" s="236"/>
      <c r="EC27" s="236"/>
      <c r="ED27" s="236"/>
      <c r="EE27" s="236"/>
      <c r="EF27" s="236"/>
      <c r="EG27" s="236"/>
      <c r="EH27" s="236"/>
      <c r="EI27" s="236"/>
      <c r="EJ27" s="236"/>
      <c r="EK27" s="236"/>
      <c r="EL27" s="236"/>
      <c r="EM27" s="236"/>
      <c r="EN27" s="236"/>
      <c r="EO27" s="236"/>
      <c r="EP27" s="236"/>
      <c r="EQ27" s="236"/>
      <c r="ER27" s="236"/>
      <c r="ES27" s="236"/>
      <c r="ET27" s="236"/>
      <c r="EU27" s="236"/>
      <c r="EV27" s="236"/>
      <c r="EW27" s="236"/>
      <c r="EX27" s="236"/>
      <c r="EY27" s="236"/>
      <c r="EZ27" s="236"/>
      <c r="FA27" s="236"/>
      <c r="FB27" s="236"/>
      <c r="FC27" s="236"/>
      <c r="FD27" s="236"/>
      <c r="FE27" s="236"/>
      <c r="FF27" s="236"/>
      <c r="FG27" s="236"/>
      <c r="FH27" s="236"/>
      <c r="FI27" s="236"/>
      <c r="FJ27" s="236"/>
      <c r="FK27" s="236"/>
      <c r="FL27" s="236"/>
      <c r="FM27" s="236"/>
      <c r="FN27" s="236"/>
      <c r="FO27" s="236"/>
      <c r="FP27" s="236"/>
      <c r="FQ27" s="236"/>
      <c r="FR27" s="236"/>
      <c r="FS27" s="236"/>
      <c r="FT27" s="236"/>
      <c r="FU27" s="236"/>
      <c r="FV27" s="236"/>
      <c r="FW27" s="236"/>
      <c r="FX27" s="236"/>
      <c r="FY27" s="236"/>
      <c r="FZ27" s="236"/>
      <c r="GA27" s="236"/>
      <c r="GB27" s="236"/>
      <c r="GC27" s="236"/>
      <c r="GD27" s="236"/>
      <c r="GE27" s="236"/>
      <c r="GF27" s="236"/>
      <c r="GG27" s="236"/>
      <c r="GH27" s="236"/>
      <c r="GI27" s="236"/>
      <c r="GJ27" s="236"/>
      <c r="GK27" s="236"/>
      <c r="GL27" s="236"/>
      <c r="GM27" s="236"/>
      <c r="GN27" s="236"/>
      <c r="GO27" s="236"/>
      <c r="GP27" s="236"/>
      <c r="GQ27" s="236"/>
      <c r="GR27" s="236"/>
      <c r="GS27" s="236"/>
      <c r="GT27" s="236"/>
      <c r="GU27" s="236"/>
      <c r="GV27" s="236"/>
      <c r="GW27" s="236"/>
      <c r="GX27" s="236"/>
      <c r="GY27" s="236"/>
      <c r="GZ27" s="236"/>
      <c r="HA27" s="236"/>
      <c r="HB27" s="236"/>
      <c r="HC27" s="236"/>
      <c r="HD27" s="236"/>
      <c r="HE27" s="236"/>
      <c r="HF27" s="236"/>
      <c r="HG27" s="236"/>
      <c r="HH27" s="236"/>
      <c r="HI27" s="236"/>
      <c r="HJ27" s="236"/>
      <c r="HK27" s="236"/>
      <c r="HL27" s="236"/>
      <c r="HM27" s="236"/>
      <c r="HN27" s="236"/>
      <c r="HO27" s="236"/>
      <c r="HP27" s="236"/>
      <c r="HQ27" s="236"/>
      <c r="HR27" s="236"/>
      <c r="HS27" s="236"/>
      <c r="HT27" s="236"/>
      <c r="HU27" s="236"/>
      <c r="HV27" s="236"/>
      <c r="HW27" s="236"/>
      <c r="HX27" s="236"/>
      <c r="HY27" s="236"/>
      <c r="HZ27" s="236"/>
      <c r="IA27" s="236"/>
      <c r="IB27" s="236"/>
      <c r="IC27" s="236"/>
      <c r="ID27" s="236"/>
      <c r="IE27" s="236"/>
      <c r="IF27" s="236"/>
      <c r="IG27" s="236"/>
      <c r="IH27" s="236"/>
      <c r="II27" s="236"/>
      <c r="IJ27" s="236"/>
      <c r="IK27" s="236"/>
      <c r="IL27" s="236"/>
      <c r="IM27" s="236"/>
      <c r="IN27" s="236"/>
      <c r="IO27" s="236"/>
      <c r="IP27" s="236"/>
      <c r="IQ27" s="236"/>
      <c r="IR27" s="236"/>
      <c r="IS27" s="236"/>
      <c r="IT27" s="236"/>
      <c r="IU27" s="236"/>
      <c r="IV27" s="236"/>
    </row>
    <row r="28" spans="1:256" ht="16.5">
      <c r="A28" s="1427"/>
      <c r="B28" s="242" t="s">
        <v>256</v>
      </c>
      <c r="C28" s="252">
        <f>ROUND(4599*1.05*1.05*1.05,0)</f>
        <v>5324</v>
      </c>
      <c r="D28" s="252">
        <f>C28*3.666667</f>
        <v>19521.335108</v>
      </c>
      <c r="E28" s="252">
        <f>(C28+D28)*1.5</f>
        <v>37268.002662</v>
      </c>
      <c r="F28" s="253">
        <v>1</v>
      </c>
      <c r="G28" s="252">
        <f>(C28+D28+E28)*F28</f>
        <v>62113.33777</v>
      </c>
      <c r="H28" s="252">
        <f>G28*12</f>
        <v>745360.05324</v>
      </c>
      <c r="I28" s="252"/>
      <c r="J28" s="252">
        <f>I28*4.666667</f>
        <v>0</v>
      </c>
      <c r="K28" s="252">
        <f>(I28+J28)*1.5</f>
        <v>0</v>
      </c>
      <c r="L28" s="1425"/>
      <c r="M28" s="252">
        <f>(J28+K28+I28)*F28</f>
        <v>0</v>
      </c>
      <c r="N28" s="254">
        <f>M28*3</f>
        <v>0</v>
      </c>
      <c r="O28" s="252">
        <f>H28*0.28</f>
        <v>208700.81490720002</v>
      </c>
      <c r="P28" s="252">
        <f>O28+H28</f>
        <v>954060.8681472001</v>
      </c>
      <c r="Q28" s="255"/>
      <c r="R28" s="255"/>
      <c r="S28" s="255"/>
      <c r="T28" s="294"/>
      <c r="U28" s="294"/>
      <c r="V28" s="294"/>
      <c r="W28" s="295"/>
      <c r="X28" s="292"/>
      <c r="Y28" s="293"/>
      <c r="Z28" s="292"/>
      <c r="AA28" s="236"/>
      <c r="AB28" s="236"/>
      <c r="AC28" s="236"/>
      <c r="AD28" s="236"/>
      <c r="AE28" s="236"/>
      <c r="AF28" s="236"/>
      <c r="AG28" s="28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/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236"/>
      <c r="DZ28" s="236"/>
      <c r="EA28" s="236"/>
      <c r="EB28" s="236"/>
      <c r="EC28" s="236"/>
      <c r="ED28" s="236"/>
      <c r="EE28" s="236"/>
      <c r="EF28" s="236"/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6"/>
      <c r="EU28" s="236"/>
      <c r="EV28" s="236"/>
      <c r="EW28" s="236"/>
      <c r="EX28" s="236"/>
      <c r="EY28" s="236"/>
      <c r="EZ28" s="236"/>
      <c r="FA28" s="236"/>
      <c r="FB28" s="236"/>
      <c r="FC28" s="236"/>
      <c r="FD28" s="236"/>
      <c r="FE28" s="236"/>
      <c r="FF28" s="236"/>
      <c r="FG28" s="236"/>
      <c r="FH28" s="236"/>
      <c r="FI28" s="236"/>
      <c r="FJ28" s="236"/>
      <c r="FK28" s="236"/>
      <c r="FL28" s="236"/>
      <c r="FM28" s="236"/>
      <c r="FN28" s="236"/>
      <c r="FO28" s="236"/>
      <c r="FP28" s="236"/>
      <c r="FQ28" s="236"/>
      <c r="FR28" s="236"/>
      <c r="FS28" s="236"/>
      <c r="FT28" s="236"/>
      <c r="FU28" s="236"/>
      <c r="FV28" s="236"/>
      <c r="FW28" s="236"/>
      <c r="FX28" s="236"/>
      <c r="FY28" s="236"/>
      <c r="FZ28" s="236"/>
      <c r="GA28" s="236"/>
      <c r="GB28" s="236"/>
      <c r="GC28" s="236"/>
      <c r="GD28" s="236"/>
      <c r="GE28" s="236"/>
      <c r="GF28" s="236"/>
      <c r="GG28" s="236"/>
      <c r="GH28" s="236"/>
      <c r="GI28" s="236"/>
      <c r="GJ28" s="236"/>
      <c r="GK28" s="236"/>
      <c r="GL28" s="236"/>
      <c r="GM28" s="236"/>
      <c r="GN28" s="236"/>
      <c r="GO28" s="236"/>
      <c r="GP28" s="236"/>
      <c r="GQ28" s="236"/>
      <c r="GR28" s="236"/>
      <c r="GS28" s="236"/>
      <c r="GT28" s="236"/>
      <c r="GU28" s="236"/>
      <c r="GV28" s="236"/>
      <c r="GW28" s="236"/>
      <c r="GX28" s="236"/>
      <c r="GY28" s="236"/>
      <c r="GZ28" s="236"/>
      <c r="HA28" s="236"/>
      <c r="HB28" s="236"/>
      <c r="HC28" s="236"/>
      <c r="HD28" s="236"/>
      <c r="HE28" s="236"/>
      <c r="HF28" s="236"/>
      <c r="HG28" s="236"/>
      <c r="HH28" s="236"/>
      <c r="HI28" s="236"/>
      <c r="HJ28" s="236"/>
      <c r="HK28" s="236"/>
      <c r="HL28" s="236"/>
      <c r="HM28" s="236"/>
      <c r="HN28" s="236"/>
      <c r="HO28" s="236"/>
      <c r="HP28" s="236"/>
      <c r="HQ28" s="236"/>
      <c r="HR28" s="236"/>
      <c r="HS28" s="236"/>
      <c r="HT28" s="236"/>
      <c r="HU28" s="236"/>
      <c r="HV28" s="236"/>
      <c r="HW28" s="236"/>
      <c r="HX28" s="236"/>
      <c r="HY28" s="236"/>
      <c r="HZ28" s="236"/>
      <c r="IA28" s="236"/>
      <c r="IB28" s="236"/>
      <c r="IC28" s="236"/>
      <c r="ID28" s="236"/>
      <c r="IE28" s="236"/>
      <c r="IF28" s="236"/>
      <c r="IG28" s="236"/>
      <c r="IH28" s="236"/>
      <c r="II28" s="236"/>
      <c r="IJ28" s="236"/>
      <c r="IK28" s="236"/>
      <c r="IL28" s="236"/>
      <c r="IM28" s="236"/>
      <c r="IN28" s="236"/>
      <c r="IO28" s="236"/>
      <c r="IP28" s="236"/>
      <c r="IQ28" s="236"/>
      <c r="IR28" s="236"/>
      <c r="IS28" s="236"/>
      <c r="IT28" s="236"/>
      <c r="IU28" s="236"/>
      <c r="IV28" s="236"/>
    </row>
    <row r="29" spans="1:256" ht="17.25" thickBot="1">
      <c r="A29" s="265" t="s">
        <v>181</v>
      </c>
      <c r="B29" s="266"/>
      <c r="C29" s="267"/>
      <c r="D29" s="267"/>
      <c r="E29" s="267"/>
      <c r="F29" s="268">
        <f>SUM(F27:F28)</f>
        <v>2</v>
      </c>
      <c r="G29" s="267">
        <f>SUM(G27:G28)</f>
        <v>129838.34260749999</v>
      </c>
      <c r="H29" s="267">
        <f aca="true" t="shared" si="12" ref="H29:N29">SUM(H27:H28)</f>
        <v>1558060.11129</v>
      </c>
      <c r="I29" s="267">
        <f t="shared" si="12"/>
        <v>0</v>
      </c>
      <c r="J29" s="267">
        <f t="shared" si="12"/>
        <v>0</v>
      </c>
      <c r="K29" s="267">
        <f t="shared" si="12"/>
        <v>0</v>
      </c>
      <c r="L29" s="267">
        <f t="shared" si="12"/>
        <v>0</v>
      </c>
      <c r="M29" s="267">
        <f t="shared" si="12"/>
        <v>0</v>
      </c>
      <c r="N29" s="267">
        <f t="shared" si="12"/>
        <v>0</v>
      </c>
      <c r="O29" s="267">
        <f>SUM(O27:O28)</f>
        <v>436256.8311612</v>
      </c>
      <c r="P29" s="267">
        <f>SUM(P27:P28)</f>
        <v>1994316.9424512</v>
      </c>
      <c r="Q29" s="269">
        <f>P29/1000</f>
        <v>1994.3169424512</v>
      </c>
      <c r="R29" s="269">
        <f>(105.6+28)*1.05</f>
        <v>140.28</v>
      </c>
      <c r="S29" s="270">
        <f>27.2*1.05</f>
        <v>28.56</v>
      </c>
      <c r="T29" s="271">
        <v>0</v>
      </c>
      <c r="U29" s="271">
        <v>0</v>
      </c>
      <c r="V29" s="271">
        <v>123.2</v>
      </c>
      <c r="W29" s="272">
        <v>32.5</v>
      </c>
      <c r="X29" s="273">
        <v>2318.9</v>
      </c>
      <c r="Y29" s="274">
        <v>2325</v>
      </c>
      <c r="Z29" s="275">
        <v>2332</v>
      </c>
      <c r="AA29" s="276"/>
      <c r="AB29" s="276"/>
      <c r="AC29" s="277"/>
      <c r="AD29" s="276"/>
      <c r="AE29" s="276"/>
      <c r="AF29" s="276"/>
      <c r="AG29" s="278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/>
      <c r="DM29" s="236"/>
      <c r="DN29" s="236"/>
      <c r="DO29" s="236"/>
      <c r="DP29" s="236"/>
      <c r="DQ29" s="236"/>
      <c r="DR29" s="236"/>
      <c r="DS29" s="236"/>
      <c r="DT29" s="236"/>
      <c r="DU29" s="236"/>
      <c r="DV29" s="236"/>
      <c r="DW29" s="236"/>
      <c r="DX29" s="236"/>
      <c r="DY29" s="236"/>
      <c r="DZ29" s="236"/>
      <c r="EA29" s="236"/>
      <c r="EB29" s="236"/>
      <c r="EC29" s="236"/>
      <c r="ED29" s="236"/>
      <c r="EE29" s="236"/>
      <c r="EF29" s="236"/>
      <c r="EG29" s="236"/>
      <c r="EH29" s="236"/>
      <c r="EI29" s="236"/>
      <c r="EJ29" s="236"/>
      <c r="EK29" s="236"/>
      <c r="EL29" s="236"/>
      <c r="EM29" s="236"/>
      <c r="EN29" s="236"/>
      <c r="EO29" s="236"/>
      <c r="EP29" s="236"/>
      <c r="EQ29" s="236"/>
      <c r="ER29" s="236"/>
      <c r="ES29" s="236"/>
      <c r="ET29" s="236"/>
      <c r="EU29" s="236"/>
      <c r="EV29" s="236"/>
      <c r="EW29" s="236"/>
      <c r="EX29" s="236"/>
      <c r="EY29" s="236"/>
      <c r="EZ29" s="236"/>
      <c r="FA29" s="236"/>
      <c r="FB29" s="236"/>
      <c r="FC29" s="236"/>
      <c r="FD29" s="236"/>
      <c r="FE29" s="236"/>
      <c r="FF29" s="236"/>
      <c r="FG29" s="236"/>
      <c r="FH29" s="236"/>
      <c r="FI29" s="236"/>
      <c r="FJ29" s="236"/>
      <c r="FK29" s="236"/>
      <c r="FL29" s="236"/>
      <c r="FM29" s="236"/>
      <c r="FN29" s="236"/>
      <c r="FO29" s="236"/>
      <c r="FP29" s="236"/>
      <c r="FQ29" s="236"/>
      <c r="FR29" s="236"/>
      <c r="FS29" s="236"/>
      <c r="FT29" s="236"/>
      <c r="FU29" s="236"/>
      <c r="FV29" s="236"/>
      <c r="FW29" s="236"/>
      <c r="FX29" s="236"/>
      <c r="FY29" s="236"/>
      <c r="FZ29" s="236"/>
      <c r="GA29" s="236"/>
      <c r="GB29" s="236"/>
      <c r="GC29" s="236"/>
      <c r="GD29" s="236"/>
      <c r="GE29" s="236"/>
      <c r="GF29" s="236"/>
      <c r="GG29" s="236"/>
      <c r="GH29" s="236"/>
      <c r="GI29" s="236"/>
      <c r="GJ29" s="236"/>
      <c r="GK29" s="236"/>
      <c r="GL29" s="236"/>
      <c r="GM29" s="236"/>
      <c r="GN29" s="236"/>
      <c r="GO29" s="236"/>
      <c r="GP29" s="236"/>
      <c r="GQ29" s="236"/>
      <c r="GR29" s="236"/>
      <c r="GS29" s="236"/>
      <c r="GT29" s="236"/>
      <c r="GU29" s="236"/>
      <c r="GV29" s="236"/>
      <c r="GW29" s="236"/>
      <c r="GX29" s="236"/>
      <c r="GY29" s="236"/>
      <c r="GZ29" s="236"/>
      <c r="HA29" s="236"/>
      <c r="HB29" s="236"/>
      <c r="HC29" s="236"/>
      <c r="HD29" s="236"/>
      <c r="HE29" s="236"/>
      <c r="HF29" s="236"/>
      <c r="HG29" s="236"/>
      <c r="HH29" s="236"/>
      <c r="HI29" s="236"/>
      <c r="HJ29" s="236"/>
      <c r="HK29" s="236"/>
      <c r="HL29" s="236"/>
      <c r="HM29" s="236"/>
      <c r="HN29" s="236"/>
      <c r="HO29" s="236"/>
      <c r="HP29" s="236"/>
      <c r="HQ29" s="236"/>
      <c r="HR29" s="236"/>
      <c r="HS29" s="236"/>
      <c r="HT29" s="236"/>
      <c r="HU29" s="236"/>
      <c r="HV29" s="236"/>
      <c r="HW29" s="236"/>
      <c r="HX29" s="236"/>
      <c r="HY29" s="236"/>
      <c r="HZ29" s="236"/>
      <c r="IA29" s="236"/>
      <c r="IB29" s="236"/>
      <c r="IC29" s="236"/>
      <c r="ID29" s="236"/>
      <c r="IE29" s="236"/>
      <c r="IF29" s="236"/>
      <c r="IG29" s="236"/>
      <c r="IH29" s="236"/>
      <c r="II29" s="236"/>
      <c r="IJ29" s="236"/>
      <c r="IK29" s="236"/>
      <c r="IL29" s="236"/>
      <c r="IM29" s="236"/>
      <c r="IN29" s="236"/>
      <c r="IO29" s="236"/>
      <c r="IP29" s="236"/>
      <c r="IQ29" s="236"/>
      <c r="IR29" s="236"/>
      <c r="IS29" s="236"/>
      <c r="IT29" s="236"/>
      <c r="IU29" s="236"/>
      <c r="IV29" s="236"/>
    </row>
    <row r="30" spans="1:256" ht="16.5" customHeight="1">
      <c r="A30" s="1426" t="s">
        <v>31</v>
      </c>
      <c r="B30" s="251" t="s">
        <v>255</v>
      </c>
      <c r="C30" s="252">
        <f>ROUND(5015*1.05*1.05*1.05,0)</f>
        <v>5805</v>
      </c>
      <c r="D30" s="252">
        <f>C30*3.666667</f>
        <v>21285.001935</v>
      </c>
      <c r="E30" s="252">
        <f>(C30+D30)*1.5</f>
        <v>40635.0029025</v>
      </c>
      <c r="F30" s="253">
        <v>1</v>
      </c>
      <c r="G30" s="252">
        <f>(C30+D30+E30)*F30</f>
        <v>67725.00483749999</v>
      </c>
      <c r="H30" s="252">
        <f>G30*12</f>
        <v>812700.0580499999</v>
      </c>
      <c r="I30" s="252"/>
      <c r="J30" s="252">
        <f>I30*4.666667</f>
        <v>0</v>
      </c>
      <c r="K30" s="252">
        <f>(I30+J30)*1.5</f>
        <v>0</v>
      </c>
      <c r="L30" s="1424" t="s">
        <v>31</v>
      </c>
      <c r="M30" s="252">
        <f>(J30+K30+I30)*F30</f>
        <v>0</v>
      </c>
      <c r="N30" s="254">
        <f>M30*3</f>
        <v>0</v>
      </c>
      <c r="O30" s="252">
        <f>H30*0.28</f>
        <v>227556.016254</v>
      </c>
      <c r="P30" s="252">
        <f>O30+H30</f>
        <v>1040256.0743039999</v>
      </c>
      <c r="Q30" s="281"/>
      <c r="R30" s="281"/>
      <c r="S30" s="282"/>
      <c r="T30" s="290"/>
      <c r="U30" s="290"/>
      <c r="V30" s="290"/>
      <c r="W30" s="291"/>
      <c r="X30" s="292"/>
      <c r="Y30" s="293"/>
      <c r="Z30" s="292"/>
      <c r="AA30" s="236"/>
      <c r="AB30" s="236"/>
      <c r="AC30" s="236"/>
      <c r="AD30" s="236"/>
      <c r="AE30" s="236"/>
      <c r="AF30" s="236"/>
      <c r="AG30" s="28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/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/>
      <c r="DM30" s="236"/>
      <c r="DN30" s="236"/>
      <c r="DO30" s="236"/>
      <c r="DP30" s="236"/>
      <c r="DQ30" s="236"/>
      <c r="DR30" s="236"/>
      <c r="DS30" s="236"/>
      <c r="DT30" s="236"/>
      <c r="DU30" s="236"/>
      <c r="DV30" s="236"/>
      <c r="DW30" s="236"/>
      <c r="DX30" s="236"/>
      <c r="DY30" s="236"/>
      <c r="DZ30" s="236"/>
      <c r="EA30" s="236"/>
      <c r="EB30" s="236"/>
      <c r="EC30" s="236"/>
      <c r="ED30" s="236"/>
      <c r="EE30" s="236"/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36"/>
      <c r="EU30" s="236"/>
      <c r="EV30" s="236"/>
      <c r="EW30" s="236"/>
      <c r="EX30" s="236"/>
      <c r="EY30" s="236"/>
      <c r="EZ30" s="236"/>
      <c r="FA30" s="236"/>
      <c r="FB30" s="236"/>
      <c r="FC30" s="236"/>
      <c r="FD30" s="236"/>
      <c r="FE30" s="236"/>
      <c r="FF30" s="236"/>
      <c r="FG30" s="236"/>
      <c r="FH30" s="236"/>
      <c r="FI30" s="236"/>
      <c r="FJ30" s="236"/>
      <c r="FK30" s="236"/>
      <c r="FL30" s="236"/>
      <c r="FM30" s="236"/>
      <c r="FN30" s="236"/>
      <c r="FO30" s="236"/>
      <c r="FP30" s="236"/>
      <c r="FQ30" s="236"/>
      <c r="FR30" s="236"/>
      <c r="FS30" s="236"/>
      <c r="FT30" s="236"/>
      <c r="FU30" s="236"/>
      <c r="FV30" s="236"/>
      <c r="FW30" s="236"/>
      <c r="FX30" s="236"/>
      <c r="FY30" s="236"/>
      <c r="FZ30" s="236"/>
      <c r="GA30" s="236"/>
      <c r="GB30" s="236"/>
      <c r="GC30" s="236"/>
      <c r="GD30" s="236"/>
      <c r="GE30" s="236"/>
      <c r="GF30" s="236"/>
      <c r="GG30" s="236"/>
      <c r="GH30" s="236"/>
      <c r="GI30" s="236"/>
      <c r="GJ30" s="236"/>
      <c r="GK30" s="236"/>
      <c r="GL30" s="236"/>
      <c r="GM30" s="236"/>
      <c r="GN30" s="236"/>
      <c r="GO30" s="236"/>
      <c r="GP30" s="236"/>
      <c r="GQ30" s="236"/>
      <c r="GR30" s="236"/>
      <c r="GS30" s="236"/>
      <c r="GT30" s="236"/>
      <c r="GU30" s="236"/>
      <c r="GV30" s="236"/>
      <c r="GW30" s="236"/>
      <c r="GX30" s="236"/>
      <c r="GY30" s="236"/>
      <c r="GZ30" s="236"/>
      <c r="HA30" s="236"/>
      <c r="HB30" s="236"/>
      <c r="HC30" s="236"/>
      <c r="HD30" s="236"/>
      <c r="HE30" s="236"/>
      <c r="HF30" s="236"/>
      <c r="HG30" s="236"/>
      <c r="HH30" s="236"/>
      <c r="HI30" s="236"/>
      <c r="HJ30" s="236"/>
      <c r="HK30" s="236"/>
      <c r="HL30" s="236"/>
      <c r="HM30" s="236"/>
      <c r="HN30" s="236"/>
      <c r="HO30" s="236"/>
      <c r="HP30" s="236"/>
      <c r="HQ30" s="236"/>
      <c r="HR30" s="236"/>
      <c r="HS30" s="236"/>
      <c r="HT30" s="236"/>
      <c r="HU30" s="236"/>
      <c r="HV30" s="236"/>
      <c r="HW30" s="236"/>
      <c r="HX30" s="236"/>
      <c r="HY30" s="236"/>
      <c r="HZ30" s="236"/>
      <c r="IA30" s="236"/>
      <c r="IB30" s="236"/>
      <c r="IC30" s="236"/>
      <c r="ID30" s="236"/>
      <c r="IE30" s="236"/>
      <c r="IF30" s="236"/>
      <c r="IG30" s="236"/>
      <c r="IH30" s="236"/>
      <c r="II30" s="236"/>
      <c r="IJ30" s="236"/>
      <c r="IK30" s="236"/>
      <c r="IL30" s="236"/>
      <c r="IM30" s="236"/>
      <c r="IN30" s="236"/>
      <c r="IO30" s="236"/>
      <c r="IP30" s="236"/>
      <c r="IQ30" s="236"/>
      <c r="IR30" s="236"/>
      <c r="IS30" s="236"/>
      <c r="IT30" s="236"/>
      <c r="IU30" s="236"/>
      <c r="IV30" s="236"/>
    </row>
    <row r="31" spans="1:256" ht="16.5">
      <c r="A31" s="1427"/>
      <c r="B31" s="242" t="s">
        <v>256</v>
      </c>
      <c r="C31" s="252">
        <f>ROUND(4599*1.05*1.05*1.05,0)</f>
        <v>5324</v>
      </c>
      <c r="D31" s="252">
        <f>C31*3.666667</f>
        <v>19521.335108</v>
      </c>
      <c r="E31" s="252">
        <f>(C31+D31)*1.5</f>
        <v>37268.002662</v>
      </c>
      <c r="F31" s="253">
        <v>1</v>
      </c>
      <c r="G31" s="252">
        <f>(C31+D31+E31)*F31</f>
        <v>62113.33777</v>
      </c>
      <c r="H31" s="252">
        <f>G31*12</f>
        <v>745360.05324</v>
      </c>
      <c r="I31" s="252"/>
      <c r="J31" s="252">
        <f>I31*4.666667</f>
        <v>0</v>
      </c>
      <c r="K31" s="252">
        <f>(I31+J31)*1.5</f>
        <v>0</v>
      </c>
      <c r="L31" s="1425"/>
      <c r="M31" s="252">
        <f>(J31+K31+I31)*F31</f>
        <v>0</v>
      </c>
      <c r="N31" s="254">
        <f>M31*3</f>
        <v>0</v>
      </c>
      <c r="O31" s="252">
        <f>H31*0.28</f>
        <v>208700.81490720002</v>
      </c>
      <c r="P31" s="252">
        <f>O31+H31</f>
        <v>954060.8681472001</v>
      </c>
      <c r="Q31" s="255"/>
      <c r="R31" s="255"/>
      <c r="S31" s="255"/>
      <c r="T31" s="294"/>
      <c r="U31" s="294"/>
      <c r="V31" s="294"/>
      <c r="W31" s="295"/>
      <c r="X31" s="292"/>
      <c r="Y31" s="293"/>
      <c r="Z31" s="292"/>
      <c r="AA31" s="236"/>
      <c r="AB31" s="236"/>
      <c r="AC31" s="236"/>
      <c r="AD31" s="236"/>
      <c r="AE31" s="236"/>
      <c r="AF31" s="236"/>
      <c r="AG31" s="28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/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/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/>
      <c r="DM31" s="236"/>
      <c r="DN31" s="236"/>
      <c r="DO31" s="236"/>
      <c r="DP31" s="236"/>
      <c r="DQ31" s="236"/>
      <c r="DR31" s="236"/>
      <c r="DS31" s="236"/>
      <c r="DT31" s="236"/>
      <c r="DU31" s="236"/>
      <c r="DV31" s="236"/>
      <c r="DW31" s="236"/>
      <c r="DX31" s="236"/>
      <c r="DY31" s="236"/>
      <c r="DZ31" s="236"/>
      <c r="EA31" s="236"/>
      <c r="EB31" s="236"/>
      <c r="EC31" s="236"/>
      <c r="ED31" s="236"/>
      <c r="EE31" s="236"/>
      <c r="EF31" s="236"/>
      <c r="EG31" s="236"/>
      <c r="EH31" s="236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6"/>
      <c r="ET31" s="236"/>
      <c r="EU31" s="236"/>
      <c r="EV31" s="236"/>
      <c r="EW31" s="236"/>
      <c r="EX31" s="236"/>
      <c r="EY31" s="236"/>
      <c r="EZ31" s="236"/>
      <c r="FA31" s="236"/>
      <c r="FB31" s="236"/>
      <c r="FC31" s="236"/>
      <c r="FD31" s="236"/>
      <c r="FE31" s="236"/>
      <c r="FF31" s="236"/>
      <c r="FG31" s="236"/>
      <c r="FH31" s="236"/>
      <c r="FI31" s="236"/>
      <c r="FJ31" s="236"/>
      <c r="FK31" s="236"/>
      <c r="FL31" s="236"/>
      <c r="FM31" s="236"/>
      <c r="FN31" s="236"/>
      <c r="FO31" s="236"/>
      <c r="FP31" s="236"/>
      <c r="FQ31" s="236"/>
      <c r="FR31" s="236"/>
      <c r="FS31" s="236"/>
      <c r="FT31" s="236"/>
      <c r="FU31" s="236"/>
      <c r="FV31" s="236"/>
      <c r="FW31" s="236"/>
      <c r="FX31" s="236"/>
      <c r="FY31" s="236"/>
      <c r="FZ31" s="236"/>
      <c r="GA31" s="236"/>
      <c r="GB31" s="236"/>
      <c r="GC31" s="236"/>
      <c r="GD31" s="236"/>
      <c r="GE31" s="236"/>
      <c r="GF31" s="236"/>
      <c r="GG31" s="236"/>
      <c r="GH31" s="236"/>
      <c r="GI31" s="236"/>
      <c r="GJ31" s="236"/>
      <c r="GK31" s="236"/>
      <c r="GL31" s="236"/>
      <c r="GM31" s="236"/>
      <c r="GN31" s="236"/>
      <c r="GO31" s="236"/>
      <c r="GP31" s="236"/>
      <c r="GQ31" s="236"/>
      <c r="GR31" s="236"/>
      <c r="GS31" s="236"/>
      <c r="GT31" s="236"/>
      <c r="GU31" s="236"/>
      <c r="GV31" s="236"/>
      <c r="GW31" s="236"/>
      <c r="GX31" s="236"/>
      <c r="GY31" s="236"/>
      <c r="GZ31" s="236"/>
      <c r="HA31" s="236"/>
      <c r="HB31" s="236"/>
      <c r="HC31" s="236"/>
      <c r="HD31" s="236"/>
      <c r="HE31" s="236"/>
      <c r="HF31" s="236"/>
      <c r="HG31" s="236"/>
      <c r="HH31" s="236"/>
      <c r="HI31" s="236"/>
      <c r="HJ31" s="236"/>
      <c r="HK31" s="236"/>
      <c r="HL31" s="236"/>
      <c r="HM31" s="236"/>
      <c r="HN31" s="236"/>
      <c r="HO31" s="236"/>
      <c r="HP31" s="236"/>
      <c r="HQ31" s="236"/>
      <c r="HR31" s="236"/>
      <c r="HS31" s="236"/>
      <c r="HT31" s="236"/>
      <c r="HU31" s="236"/>
      <c r="HV31" s="236"/>
      <c r="HW31" s="236"/>
      <c r="HX31" s="236"/>
      <c r="HY31" s="236"/>
      <c r="HZ31" s="236"/>
      <c r="IA31" s="236"/>
      <c r="IB31" s="236"/>
      <c r="IC31" s="236"/>
      <c r="ID31" s="236"/>
      <c r="IE31" s="236"/>
      <c r="IF31" s="236"/>
      <c r="IG31" s="236"/>
      <c r="IH31" s="236"/>
      <c r="II31" s="236"/>
      <c r="IJ31" s="236"/>
      <c r="IK31" s="236"/>
      <c r="IL31" s="236"/>
      <c r="IM31" s="236"/>
      <c r="IN31" s="236"/>
      <c r="IO31" s="236"/>
      <c r="IP31" s="236"/>
      <c r="IQ31" s="236"/>
      <c r="IR31" s="236"/>
      <c r="IS31" s="236"/>
      <c r="IT31" s="236"/>
      <c r="IU31" s="236"/>
      <c r="IV31" s="236"/>
    </row>
    <row r="32" spans="1:256" ht="17.25" thickBot="1">
      <c r="A32" s="265" t="s">
        <v>181</v>
      </c>
      <c r="B32" s="266"/>
      <c r="C32" s="267"/>
      <c r="D32" s="267"/>
      <c r="E32" s="267"/>
      <c r="F32" s="268">
        <f>SUM(F30:F31)</f>
        <v>2</v>
      </c>
      <c r="G32" s="267">
        <f>SUM(G30:G31)</f>
        <v>129838.34260749999</v>
      </c>
      <c r="H32" s="267">
        <f aca="true" t="shared" si="13" ref="H32:N32">SUM(H30:H31)</f>
        <v>1558060.11129</v>
      </c>
      <c r="I32" s="267">
        <f t="shared" si="13"/>
        <v>0</v>
      </c>
      <c r="J32" s="267">
        <f t="shared" si="13"/>
        <v>0</v>
      </c>
      <c r="K32" s="267">
        <f t="shared" si="13"/>
        <v>0</v>
      </c>
      <c r="L32" s="267">
        <f t="shared" si="13"/>
        <v>0</v>
      </c>
      <c r="M32" s="267">
        <f t="shared" si="13"/>
        <v>0</v>
      </c>
      <c r="N32" s="267">
        <f t="shared" si="13"/>
        <v>0</v>
      </c>
      <c r="O32" s="267">
        <f>SUM(O30:O31)</f>
        <v>436256.8311612</v>
      </c>
      <c r="P32" s="267">
        <f>SUM(P30:P31)</f>
        <v>1994316.9424512</v>
      </c>
      <c r="Q32" s="269">
        <f>P32/1000</f>
        <v>1994.3169424512</v>
      </c>
      <c r="R32" s="269">
        <f>86.4*1.055*1.05</f>
        <v>95.70960000000001</v>
      </c>
      <c r="S32" s="270">
        <f>26.2*1.05</f>
        <v>27.51</v>
      </c>
      <c r="T32" s="271">
        <v>18.1</v>
      </c>
      <c r="U32" s="271">
        <v>12</v>
      </c>
      <c r="V32" s="271">
        <v>50</v>
      </c>
      <c r="W32" s="272">
        <v>32.5</v>
      </c>
      <c r="X32" s="273">
        <v>2230.1</v>
      </c>
      <c r="Y32" s="274">
        <v>2236</v>
      </c>
      <c r="Z32" s="275">
        <v>2242</v>
      </c>
      <c r="AA32" s="276"/>
      <c r="AB32" s="276"/>
      <c r="AC32" s="276"/>
      <c r="AD32" s="276"/>
      <c r="AE32" s="276"/>
      <c r="AF32" s="276"/>
      <c r="AG32" s="278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236"/>
      <c r="DK32" s="236"/>
      <c r="DL32" s="236"/>
      <c r="DM32" s="236"/>
      <c r="DN32" s="236"/>
      <c r="DO32" s="236"/>
      <c r="DP32" s="236"/>
      <c r="DQ32" s="236"/>
      <c r="DR32" s="236"/>
      <c r="DS32" s="236"/>
      <c r="DT32" s="236"/>
      <c r="DU32" s="236"/>
      <c r="DV32" s="236"/>
      <c r="DW32" s="236"/>
      <c r="DX32" s="236"/>
      <c r="DY32" s="236"/>
      <c r="DZ32" s="236"/>
      <c r="EA32" s="236"/>
      <c r="EB32" s="236"/>
      <c r="EC32" s="236"/>
      <c r="ED32" s="236"/>
      <c r="EE32" s="236"/>
      <c r="EF32" s="236"/>
      <c r="EG32" s="236"/>
      <c r="EH32" s="236"/>
      <c r="EI32" s="236"/>
      <c r="EJ32" s="236"/>
      <c r="EK32" s="236"/>
      <c r="EL32" s="236"/>
      <c r="EM32" s="236"/>
      <c r="EN32" s="236"/>
      <c r="EO32" s="236"/>
      <c r="EP32" s="236"/>
      <c r="EQ32" s="236"/>
      <c r="ER32" s="236"/>
      <c r="ES32" s="236"/>
      <c r="ET32" s="236"/>
      <c r="EU32" s="236"/>
      <c r="EV32" s="236"/>
      <c r="EW32" s="236"/>
      <c r="EX32" s="236"/>
      <c r="EY32" s="236"/>
      <c r="EZ32" s="236"/>
      <c r="FA32" s="236"/>
      <c r="FB32" s="236"/>
      <c r="FC32" s="236"/>
      <c r="FD32" s="236"/>
      <c r="FE32" s="236"/>
      <c r="FF32" s="236"/>
      <c r="FG32" s="236"/>
      <c r="FH32" s="236"/>
      <c r="FI32" s="236"/>
      <c r="FJ32" s="236"/>
      <c r="FK32" s="236"/>
      <c r="FL32" s="236"/>
      <c r="FM32" s="236"/>
      <c r="FN32" s="236"/>
      <c r="FO32" s="236"/>
      <c r="FP32" s="236"/>
      <c r="FQ32" s="236"/>
      <c r="FR32" s="236"/>
      <c r="FS32" s="236"/>
      <c r="FT32" s="236"/>
      <c r="FU32" s="236"/>
      <c r="FV32" s="236"/>
      <c r="FW32" s="236"/>
      <c r="FX32" s="236"/>
      <c r="FY32" s="236"/>
      <c r="FZ32" s="236"/>
      <c r="GA32" s="236"/>
      <c r="GB32" s="236"/>
      <c r="GC32" s="236"/>
      <c r="GD32" s="236"/>
      <c r="GE32" s="236"/>
      <c r="GF32" s="236"/>
      <c r="GG32" s="236"/>
      <c r="GH32" s="236"/>
      <c r="GI32" s="236"/>
      <c r="GJ32" s="236"/>
      <c r="GK32" s="236"/>
      <c r="GL32" s="236"/>
      <c r="GM32" s="236"/>
      <c r="GN32" s="236"/>
      <c r="GO32" s="236"/>
      <c r="GP32" s="236"/>
      <c r="GQ32" s="236"/>
      <c r="GR32" s="236"/>
      <c r="GS32" s="236"/>
      <c r="GT32" s="236"/>
      <c r="GU32" s="236"/>
      <c r="GV32" s="236"/>
      <c r="GW32" s="236"/>
      <c r="GX32" s="236"/>
      <c r="GY32" s="236"/>
      <c r="GZ32" s="236"/>
      <c r="HA32" s="236"/>
      <c r="HB32" s="236"/>
      <c r="HC32" s="236"/>
      <c r="HD32" s="236"/>
      <c r="HE32" s="236"/>
      <c r="HF32" s="236"/>
      <c r="HG32" s="236"/>
      <c r="HH32" s="236"/>
      <c r="HI32" s="236"/>
      <c r="HJ32" s="236"/>
      <c r="HK32" s="236"/>
      <c r="HL32" s="236"/>
      <c r="HM32" s="236"/>
      <c r="HN32" s="236"/>
      <c r="HO32" s="236"/>
      <c r="HP32" s="236"/>
      <c r="HQ32" s="236"/>
      <c r="HR32" s="236"/>
      <c r="HS32" s="236"/>
      <c r="HT32" s="236"/>
      <c r="HU32" s="236"/>
      <c r="HV32" s="236"/>
      <c r="HW32" s="236"/>
      <c r="HX32" s="236"/>
      <c r="HY32" s="236"/>
      <c r="HZ32" s="236"/>
      <c r="IA32" s="236"/>
      <c r="IB32" s="236"/>
      <c r="IC32" s="236"/>
      <c r="ID32" s="236"/>
      <c r="IE32" s="236"/>
      <c r="IF32" s="236"/>
      <c r="IG32" s="236"/>
      <c r="IH32" s="236"/>
      <c r="II32" s="236"/>
      <c r="IJ32" s="236"/>
      <c r="IK32" s="236"/>
      <c r="IL32" s="236"/>
      <c r="IM32" s="236"/>
      <c r="IN32" s="236"/>
      <c r="IO32" s="236"/>
      <c r="IP32" s="236"/>
      <c r="IQ32" s="236"/>
      <c r="IR32" s="236"/>
      <c r="IS32" s="236"/>
      <c r="IT32" s="236"/>
      <c r="IU32" s="236"/>
      <c r="IV32" s="236"/>
    </row>
    <row r="33" spans="1:256" ht="16.5" customHeight="1">
      <c r="A33" s="1426" t="s">
        <v>32</v>
      </c>
      <c r="B33" s="251" t="s">
        <v>255</v>
      </c>
      <c r="C33" s="252">
        <f>ROUND(5015*1.05*1.05*1.05,0)</f>
        <v>5805</v>
      </c>
      <c r="D33" s="252">
        <f>C33*3.666667</f>
        <v>21285.001935</v>
      </c>
      <c r="E33" s="252">
        <f>(C33+D33)*1.5</f>
        <v>40635.0029025</v>
      </c>
      <c r="F33" s="253">
        <v>1</v>
      </c>
      <c r="G33" s="252">
        <f>(C33+D33+E33)*F33</f>
        <v>67725.00483749999</v>
      </c>
      <c r="H33" s="252">
        <f>G33*12</f>
        <v>812700.0580499999</v>
      </c>
      <c r="I33" s="252"/>
      <c r="J33" s="252">
        <f>I33*4.666667</f>
        <v>0</v>
      </c>
      <c r="K33" s="252">
        <f>(I33+J33)*1.5</f>
        <v>0</v>
      </c>
      <c r="L33" s="1424" t="s">
        <v>32</v>
      </c>
      <c r="M33" s="252">
        <f>(J33+K33+I33)*F33</f>
        <v>0</v>
      </c>
      <c r="N33" s="254">
        <f>M33*3</f>
        <v>0</v>
      </c>
      <c r="O33" s="252">
        <f>H33*0.28</f>
        <v>227556.016254</v>
      </c>
      <c r="P33" s="252">
        <f>O33+H33</f>
        <v>1040256.0743039999</v>
      </c>
      <c r="Q33" s="281"/>
      <c r="R33" s="281"/>
      <c r="S33" s="282"/>
      <c r="T33" s="290"/>
      <c r="U33" s="290"/>
      <c r="V33" s="290"/>
      <c r="W33" s="291"/>
      <c r="X33" s="292"/>
      <c r="Y33" s="293"/>
      <c r="Z33" s="292"/>
      <c r="AA33" s="236"/>
      <c r="AB33" s="236"/>
      <c r="AC33" s="236"/>
      <c r="AD33" s="236"/>
      <c r="AE33" s="236"/>
      <c r="AF33" s="236"/>
      <c r="AG33" s="28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/>
      <c r="DM33" s="236"/>
      <c r="DN33" s="236"/>
      <c r="DO33" s="236"/>
      <c r="DP33" s="236"/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6"/>
      <c r="EC33" s="236"/>
      <c r="ED33" s="236"/>
      <c r="EE33" s="236"/>
      <c r="EF33" s="236"/>
      <c r="EG33" s="236"/>
      <c r="EH33" s="236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36"/>
      <c r="EU33" s="236"/>
      <c r="EV33" s="236"/>
      <c r="EW33" s="236"/>
      <c r="EX33" s="236"/>
      <c r="EY33" s="236"/>
      <c r="EZ33" s="236"/>
      <c r="FA33" s="236"/>
      <c r="FB33" s="236"/>
      <c r="FC33" s="236"/>
      <c r="FD33" s="236"/>
      <c r="FE33" s="236"/>
      <c r="FF33" s="236"/>
      <c r="FG33" s="236"/>
      <c r="FH33" s="236"/>
      <c r="FI33" s="236"/>
      <c r="FJ33" s="236"/>
      <c r="FK33" s="236"/>
      <c r="FL33" s="236"/>
      <c r="FM33" s="236"/>
      <c r="FN33" s="236"/>
      <c r="FO33" s="236"/>
      <c r="FP33" s="236"/>
      <c r="FQ33" s="236"/>
      <c r="FR33" s="236"/>
      <c r="FS33" s="236"/>
      <c r="FT33" s="236"/>
      <c r="FU33" s="236"/>
      <c r="FV33" s="236"/>
      <c r="FW33" s="236"/>
      <c r="FX33" s="236"/>
      <c r="FY33" s="236"/>
      <c r="FZ33" s="236"/>
      <c r="GA33" s="236"/>
      <c r="GB33" s="236"/>
      <c r="GC33" s="236"/>
      <c r="GD33" s="236"/>
      <c r="GE33" s="236"/>
      <c r="GF33" s="236"/>
      <c r="GG33" s="236"/>
      <c r="GH33" s="236"/>
      <c r="GI33" s="236"/>
      <c r="GJ33" s="236"/>
      <c r="GK33" s="236"/>
      <c r="GL33" s="236"/>
      <c r="GM33" s="236"/>
      <c r="GN33" s="236"/>
      <c r="GO33" s="236"/>
      <c r="GP33" s="236"/>
      <c r="GQ33" s="236"/>
      <c r="GR33" s="236"/>
      <c r="GS33" s="236"/>
      <c r="GT33" s="236"/>
      <c r="GU33" s="236"/>
      <c r="GV33" s="236"/>
      <c r="GW33" s="236"/>
      <c r="GX33" s="236"/>
      <c r="GY33" s="236"/>
      <c r="GZ33" s="236"/>
      <c r="HA33" s="236"/>
      <c r="HB33" s="236"/>
      <c r="HC33" s="236"/>
      <c r="HD33" s="236"/>
      <c r="HE33" s="236"/>
      <c r="HF33" s="236"/>
      <c r="HG33" s="236"/>
      <c r="HH33" s="236"/>
      <c r="HI33" s="236"/>
      <c r="HJ33" s="236"/>
      <c r="HK33" s="236"/>
      <c r="HL33" s="236"/>
      <c r="HM33" s="236"/>
      <c r="HN33" s="236"/>
      <c r="HO33" s="236"/>
      <c r="HP33" s="236"/>
      <c r="HQ33" s="236"/>
      <c r="HR33" s="236"/>
      <c r="HS33" s="236"/>
      <c r="HT33" s="236"/>
      <c r="HU33" s="236"/>
      <c r="HV33" s="236"/>
      <c r="HW33" s="236"/>
      <c r="HX33" s="236"/>
      <c r="HY33" s="236"/>
      <c r="HZ33" s="236"/>
      <c r="IA33" s="236"/>
      <c r="IB33" s="236"/>
      <c r="IC33" s="236"/>
      <c r="ID33" s="236"/>
      <c r="IE33" s="236"/>
      <c r="IF33" s="236"/>
      <c r="IG33" s="236"/>
      <c r="IH33" s="236"/>
      <c r="II33" s="236"/>
      <c r="IJ33" s="236"/>
      <c r="IK33" s="236"/>
      <c r="IL33" s="236"/>
      <c r="IM33" s="236"/>
      <c r="IN33" s="236"/>
      <c r="IO33" s="236"/>
      <c r="IP33" s="236"/>
      <c r="IQ33" s="236"/>
      <c r="IR33" s="236"/>
      <c r="IS33" s="236"/>
      <c r="IT33" s="236"/>
      <c r="IU33" s="236"/>
      <c r="IV33" s="236"/>
    </row>
    <row r="34" spans="1:256" ht="16.5">
      <c r="A34" s="1427"/>
      <c r="B34" s="242" t="s">
        <v>256</v>
      </c>
      <c r="C34" s="252">
        <f>ROUND(4599*1.05*1.05*1.05,0)</f>
        <v>5324</v>
      </c>
      <c r="D34" s="252">
        <f>C34*3.666667</f>
        <v>19521.335108</v>
      </c>
      <c r="E34" s="252">
        <f>(C34+D34)*1.5</f>
        <v>37268.002662</v>
      </c>
      <c r="F34" s="253">
        <v>1</v>
      </c>
      <c r="G34" s="252">
        <f>(C34+D34+E34)*F34</f>
        <v>62113.33777</v>
      </c>
      <c r="H34" s="252">
        <f>G34*12</f>
        <v>745360.05324</v>
      </c>
      <c r="I34" s="252"/>
      <c r="J34" s="252">
        <f>I34*4.666667</f>
        <v>0</v>
      </c>
      <c r="K34" s="252">
        <f>(I34+J34)*1.5</f>
        <v>0</v>
      </c>
      <c r="L34" s="1425"/>
      <c r="M34" s="252">
        <f>(J34+K34+I34)*F34</f>
        <v>0</v>
      </c>
      <c r="N34" s="254">
        <f>M34*3</f>
        <v>0</v>
      </c>
      <c r="O34" s="252">
        <f>H34*0.28</f>
        <v>208700.81490720002</v>
      </c>
      <c r="P34" s="252">
        <f>O34+H34</f>
        <v>954060.8681472001</v>
      </c>
      <c r="Q34" s="255"/>
      <c r="R34" s="255"/>
      <c r="S34" s="255"/>
      <c r="T34" s="294"/>
      <c r="U34" s="294"/>
      <c r="V34" s="294"/>
      <c r="W34" s="295"/>
      <c r="X34" s="292"/>
      <c r="Y34" s="293"/>
      <c r="Z34" s="292"/>
      <c r="AA34" s="236"/>
      <c r="AB34" s="236"/>
      <c r="AC34" s="236"/>
      <c r="AD34" s="236"/>
      <c r="AE34" s="236"/>
      <c r="AF34" s="236"/>
      <c r="AG34" s="28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/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6"/>
      <c r="DM34" s="236"/>
      <c r="DN34" s="236"/>
      <c r="DO34" s="236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6"/>
      <c r="EC34" s="236"/>
      <c r="ED34" s="236"/>
      <c r="EE34" s="236"/>
      <c r="EF34" s="236"/>
      <c r="EG34" s="236"/>
      <c r="EH34" s="236"/>
      <c r="EI34" s="236"/>
      <c r="EJ34" s="236"/>
      <c r="EK34" s="236"/>
      <c r="EL34" s="236"/>
      <c r="EM34" s="236"/>
      <c r="EN34" s="236"/>
      <c r="EO34" s="236"/>
      <c r="EP34" s="236"/>
      <c r="EQ34" s="236"/>
      <c r="ER34" s="236"/>
      <c r="ES34" s="236"/>
      <c r="ET34" s="236"/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  <c r="FH34" s="236"/>
      <c r="FI34" s="236"/>
      <c r="FJ34" s="236"/>
      <c r="FK34" s="236"/>
      <c r="FL34" s="236"/>
      <c r="FM34" s="236"/>
      <c r="FN34" s="236"/>
      <c r="FO34" s="236"/>
      <c r="FP34" s="236"/>
      <c r="FQ34" s="236"/>
      <c r="FR34" s="236"/>
      <c r="FS34" s="236"/>
      <c r="FT34" s="236"/>
      <c r="FU34" s="236"/>
      <c r="FV34" s="236"/>
      <c r="FW34" s="236"/>
      <c r="FX34" s="236"/>
      <c r="FY34" s="236"/>
      <c r="FZ34" s="236"/>
      <c r="GA34" s="236"/>
      <c r="GB34" s="236"/>
      <c r="GC34" s="236"/>
      <c r="GD34" s="236"/>
      <c r="GE34" s="236"/>
      <c r="GF34" s="236"/>
      <c r="GG34" s="236"/>
      <c r="GH34" s="236"/>
      <c r="GI34" s="236"/>
      <c r="GJ34" s="236"/>
      <c r="GK34" s="236"/>
      <c r="GL34" s="236"/>
      <c r="GM34" s="236"/>
      <c r="GN34" s="236"/>
      <c r="GO34" s="236"/>
      <c r="GP34" s="236"/>
      <c r="GQ34" s="236"/>
      <c r="GR34" s="236"/>
      <c r="GS34" s="236"/>
      <c r="GT34" s="236"/>
      <c r="GU34" s="236"/>
      <c r="GV34" s="236"/>
      <c r="GW34" s="236"/>
      <c r="GX34" s="236"/>
      <c r="GY34" s="236"/>
      <c r="GZ34" s="236"/>
      <c r="HA34" s="236"/>
      <c r="HB34" s="236"/>
      <c r="HC34" s="236"/>
      <c r="HD34" s="236"/>
      <c r="HE34" s="236"/>
      <c r="HF34" s="236"/>
      <c r="HG34" s="236"/>
      <c r="HH34" s="236"/>
      <c r="HI34" s="236"/>
      <c r="HJ34" s="236"/>
      <c r="HK34" s="236"/>
      <c r="HL34" s="236"/>
      <c r="HM34" s="236"/>
      <c r="HN34" s="236"/>
      <c r="HO34" s="236"/>
      <c r="HP34" s="236"/>
      <c r="HQ34" s="236"/>
      <c r="HR34" s="236"/>
      <c r="HS34" s="236"/>
      <c r="HT34" s="236"/>
      <c r="HU34" s="236"/>
      <c r="HV34" s="236"/>
      <c r="HW34" s="236"/>
      <c r="HX34" s="236"/>
      <c r="HY34" s="236"/>
      <c r="HZ34" s="236"/>
      <c r="IA34" s="236"/>
      <c r="IB34" s="236"/>
      <c r="IC34" s="236"/>
      <c r="ID34" s="236"/>
      <c r="IE34" s="236"/>
      <c r="IF34" s="236"/>
      <c r="IG34" s="236"/>
      <c r="IH34" s="236"/>
      <c r="II34" s="236"/>
      <c r="IJ34" s="236"/>
      <c r="IK34" s="236"/>
      <c r="IL34" s="236"/>
      <c r="IM34" s="236"/>
      <c r="IN34" s="236"/>
      <c r="IO34" s="236"/>
      <c r="IP34" s="236"/>
      <c r="IQ34" s="236"/>
      <c r="IR34" s="236"/>
      <c r="IS34" s="236"/>
      <c r="IT34" s="236"/>
      <c r="IU34" s="236"/>
      <c r="IV34" s="236"/>
    </row>
    <row r="35" spans="1:256" ht="17.25" thickBot="1">
      <c r="A35" s="265" t="s">
        <v>181</v>
      </c>
      <c r="B35" s="266"/>
      <c r="C35" s="267"/>
      <c r="D35" s="267"/>
      <c r="E35" s="267"/>
      <c r="F35" s="268">
        <f>SUM(F33:F34)</f>
        <v>2</v>
      </c>
      <c r="G35" s="267">
        <f>SUM(G33:G34)</f>
        <v>129838.34260749999</v>
      </c>
      <c r="H35" s="267">
        <f aca="true" t="shared" si="14" ref="H35:N35">SUM(H33:H34)</f>
        <v>1558060.11129</v>
      </c>
      <c r="I35" s="267">
        <f t="shared" si="14"/>
        <v>0</v>
      </c>
      <c r="J35" s="267">
        <f t="shared" si="14"/>
        <v>0</v>
      </c>
      <c r="K35" s="267">
        <f t="shared" si="14"/>
        <v>0</v>
      </c>
      <c r="L35" s="267">
        <f t="shared" si="14"/>
        <v>0</v>
      </c>
      <c r="M35" s="267">
        <f t="shared" si="14"/>
        <v>0</v>
      </c>
      <c r="N35" s="267">
        <f t="shared" si="14"/>
        <v>0</v>
      </c>
      <c r="O35" s="267">
        <f>SUM(O33:O34)</f>
        <v>436256.8311612</v>
      </c>
      <c r="P35" s="267">
        <f>SUM(P33:P34)</f>
        <v>1994316.9424512</v>
      </c>
      <c r="Q35" s="269">
        <f>P35/1000</f>
        <v>1994.3169424512</v>
      </c>
      <c r="R35" s="269">
        <f>(87+53.4+35)*1.055*1.055*1.05</f>
        <v>204.98581425</v>
      </c>
      <c r="S35" s="270">
        <f>28.8*1.055*1.055*1.05</f>
        <v>33.657875999999995</v>
      </c>
      <c r="T35" s="271">
        <f>16.9*1.055*1.055</f>
        <v>18.810122499999995</v>
      </c>
      <c r="U35" s="271">
        <f>34.1*1.055*1.055</f>
        <v>37.95415249999999</v>
      </c>
      <c r="V35" s="271">
        <f>28.5*1.055*1.055-0.1</f>
        <v>31.621212499999995</v>
      </c>
      <c r="W35" s="272">
        <v>32.5</v>
      </c>
      <c r="X35" s="273">
        <v>2353.8</v>
      </c>
      <c r="Y35" s="274">
        <v>2360</v>
      </c>
      <c r="Z35" s="275">
        <v>2370</v>
      </c>
      <c r="AA35" s="236"/>
      <c r="AB35" s="276"/>
      <c r="AC35" s="236"/>
      <c r="AD35" s="236"/>
      <c r="AE35" s="236"/>
      <c r="AF35" s="236"/>
      <c r="AG35" s="278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/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/>
      <c r="DM35" s="236"/>
      <c r="DN35" s="236"/>
      <c r="DO35" s="236"/>
      <c r="DP35" s="236"/>
      <c r="DQ35" s="236"/>
      <c r="DR35" s="236"/>
      <c r="DS35" s="236"/>
      <c r="DT35" s="236"/>
      <c r="DU35" s="236"/>
      <c r="DV35" s="236"/>
      <c r="DW35" s="236"/>
      <c r="DX35" s="236"/>
      <c r="DY35" s="236"/>
      <c r="DZ35" s="236"/>
      <c r="EA35" s="236"/>
      <c r="EB35" s="236"/>
      <c r="EC35" s="236"/>
      <c r="ED35" s="236"/>
      <c r="EE35" s="236"/>
      <c r="EF35" s="236"/>
      <c r="EG35" s="236"/>
      <c r="EH35" s="236"/>
      <c r="EI35" s="236"/>
      <c r="EJ35" s="236"/>
      <c r="EK35" s="236"/>
      <c r="EL35" s="236"/>
      <c r="EM35" s="236"/>
      <c r="EN35" s="236"/>
      <c r="EO35" s="236"/>
      <c r="EP35" s="236"/>
      <c r="EQ35" s="236"/>
      <c r="ER35" s="236"/>
      <c r="ES35" s="236"/>
      <c r="ET35" s="236"/>
      <c r="EU35" s="236"/>
      <c r="EV35" s="236"/>
      <c r="EW35" s="236"/>
      <c r="EX35" s="236"/>
      <c r="EY35" s="236"/>
      <c r="EZ35" s="236"/>
      <c r="FA35" s="236"/>
      <c r="FB35" s="236"/>
      <c r="FC35" s="236"/>
      <c r="FD35" s="236"/>
      <c r="FE35" s="236"/>
      <c r="FF35" s="236"/>
      <c r="FG35" s="236"/>
      <c r="FH35" s="236"/>
      <c r="FI35" s="236"/>
      <c r="FJ35" s="236"/>
      <c r="FK35" s="236"/>
      <c r="FL35" s="236"/>
      <c r="FM35" s="236"/>
      <c r="FN35" s="236"/>
      <c r="FO35" s="236"/>
      <c r="FP35" s="236"/>
      <c r="FQ35" s="236"/>
      <c r="FR35" s="236"/>
      <c r="FS35" s="236"/>
      <c r="FT35" s="236"/>
      <c r="FU35" s="236"/>
      <c r="FV35" s="236"/>
      <c r="FW35" s="236"/>
      <c r="FX35" s="236"/>
      <c r="FY35" s="236"/>
      <c r="FZ35" s="236"/>
      <c r="GA35" s="236"/>
      <c r="GB35" s="236"/>
      <c r="GC35" s="236"/>
      <c r="GD35" s="236"/>
      <c r="GE35" s="236"/>
      <c r="GF35" s="236"/>
      <c r="GG35" s="236"/>
      <c r="GH35" s="236"/>
      <c r="GI35" s="236"/>
      <c r="GJ35" s="236"/>
      <c r="GK35" s="236"/>
      <c r="GL35" s="236"/>
      <c r="GM35" s="236"/>
      <c r="GN35" s="236"/>
      <c r="GO35" s="236"/>
      <c r="GP35" s="236"/>
      <c r="GQ35" s="236"/>
      <c r="GR35" s="236"/>
      <c r="GS35" s="236"/>
      <c r="GT35" s="236"/>
      <c r="GU35" s="236"/>
      <c r="GV35" s="236"/>
      <c r="GW35" s="236"/>
      <c r="GX35" s="236"/>
      <c r="GY35" s="236"/>
      <c r="GZ35" s="236"/>
      <c r="HA35" s="236"/>
      <c r="HB35" s="236"/>
      <c r="HC35" s="236"/>
      <c r="HD35" s="236"/>
      <c r="HE35" s="236"/>
      <c r="HF35" s="236"/>
      <c r="HG35" s="236"/>
      <c r="HH35" s="236"/>
      <c r="HI35" s="236"/>
      <c r="HJ35" s="236"/>
      <c r="HK35" s="236"/>
      <c r="HL35" s="236"/>
      <c r="HM35" s="236"/>
      <c r="HN35" s="236"/>
      <c r="HO35" s="236"/>
      <c r="HP35" s="236"/>
      <c r="HQ35" s="236"/>
      <c r="HR35" s="236"/>
      <c r="HS35" s="236"/>
      <c r="HT35" s="236"/>
      <c r="HU35" s="236"/>
      <c r="HV35" s="236"/>
      <c r="HW35" s="236"/>
      <c r="HX35" s="236"/>
      <c r="HY35" s="236"/>
      <c r="HZ35" s="236"/>
      <c r="IA35" s="236"/>
      <c r="IB35" s="236"/>
      <c r="IC35" s="236"/>
      <c r="ID35" s="236"/>
      <c r="IE35" s="236"/>
      <c r="IF35" s="236"/>
      <c r="IG35" s="236"/>
      <c r="IH35" s="236"/>
      <c r="II35" s="236"/>
      <c r="IJ35" s="236"/>
      <c r="IK35" s="236"/>
      <c r="IL35" s="236"/>
      <c r="IM35" s="236"/>
      <c r="IN35" s="236"/>
      <c r="IO35" s="236"/>
      <c r="IP35" s="236"/>
      <c r="IQ35" s="236"/>
      <c r="IR35" s="236"/>
      <c r="IS35" s="236"/>
      <c r="IT35" s="236"/>
      <c r="IU35" s="236"/>
      <c r="IV35" s="236"/>
    </row>
    <row r="36" spans="1:256" ht="16.5">
      <c r="A36" s="1426" t="s">
        <v>33</v>
      </c>
      <c r="B36" s="251" t="s">
        <v>259</v>
      </c>
      <c r="C36" s="252">
        <f>ROUND(5332*1.05*1.05*1.05,0)</f>
        <v>6172</v>
      </c>
      <c r="D36" s="252">
        <f>C36*3.666667</f>
        <v>22630.668724</v>
      </c>
      <c r="E36" s="252">
        <f>(C36+D36)*1.5</f>
        <v>43204.003086</v>
      </c>
      <c r="F36" s="253">
        <v>1</v>
      </c>
      <c r="G36" s="252">
        <f>(C36+D36+E36)*F36</f>
        <v>72006.67181</v>
      </c>
      <c r="H36" s="252">
        <f>G36*12</f>
        <v>864080.06172</v>
      </c>
      <c r="I36" s="252"/>
      <c r="J36" s="252">
        <f>I36*4.666667</f>
        <v>0</v>
      </c>
      <c r="K36" s="252">
        <f>(I36+J36)*1.5</f>
        <v>0</v>
      </c>
      <c r="L36" s="1424" t="s">
        <v>33</v>
      </c>
      <c r="M36" s="252">
        <f>(J36+K36+I36)*F36</f>
        <v>0</v>
      </c>
      <c r="N36" s="254">
        <f>M36*3</f>
        <v>0</v>
      </c>
      <c r="O36" s="252">
        <f>H36*0.28</f>
        <v>241942.41728160004</v>
      </c>
      <c r="P36" s="252">
        <f>O36+H36</f>
        <v>1106022.4790016</v>
      </c>
      <c r="Q36" s="281"/>
      <c r="R36" s="281"/>
      <c r="S36" s="282"/>
      <c r="T36" s="263"/>
      <c r="U36" s="263"/>
      <c r="V36" s="263"/>
      <c r="W36" s="264"/>
      <c r="X36" s="296"/>
      <c r="Y36" s="297"/>
      <c r="Z36" s="298"/>
      <c r="AA36" s="236"/>
      <c r="AB36" s="236"/>
      <c r="AC36" s="236"/>
      <c r="AD36" s="236"/>
      <c r="AE36" s="236"/>
      <c r="AF36" s="236"/>
      <c r="AG36" s="28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6"/>
      <c r="BQ36" s="236"/>
      <c r="BR36" s="236"/>
      <c r="BS36" s="236"/>
      <c r="BT36" s="236"/>
      <c r="BU36" s="236"/>
      <c r="BV36" s="236"/>
      <c r="BW36" s="236"/>
      <c r="BX36" s="236"/>
      <c r="BY36" s="236"/>
      <c r="BZ36" s="236"/>
      <c r="CA36" s="236"/>
      <c r="CB36" s="236"/>
      <c r="CC36" s="236"/>
      <c r="CD36" s="236"/>
      <c r="CE36" s="236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6"/>
      <c r="CU36" s="236"/>
      <c r="CV36" s="236"/>
      <c r="CW36" s="236"/>
      <c r="CX36" s="236"/>
      <c r="CY36" s="236"/>
      <c r="CZ36" s="236"/>
      <c r="DA36" s="236"/>
      <c r="DB36" s="236"/>
      <c r="DC36" s="236"/>
      <c r="DD36" s="236"/>
      <c r="DE36" s="236"/>
      <c r="DF36" s="236"/>
      <c r="DG36" s="236"/>
      <c r="DH36" s="236"/>
      <c r="DI36" s="236"/>
      <c r="DJ36" s="236"/>
      <c r="DK36" s="236"/>
      <c r="DL36" s="236"/>
      <c r="DM36" s="236"/>
      <c r="DN36" s="236"/>
      <c r="DO36" s="236"/>
      <c r="DP36" s="236"/>
      <c r="DQ36" s="236"/>
      <c r="DR36" s="236"/>
      <c r="DS36" s="236"/>
      <c r="DT36" s="236"/>
      <c r="DU36" s="236"/>
      <c r="DV36" s="236"/>
      <c r="DW36" s="236"/>
      <c r="DX36" s="236"/>
      <c r="DY36" s="236"/>
      <c r="DZ36" s="236"/>
      <c r="EA36" s="236"/>
      <c r="EB36" s="236"/>
      <c r="EC36" s="236"/>
      <c r="ED36" s="236"/>
      <c r="EE36" s="236"/>
      <c r="EF36" s="236"/>
      <c r="EG36" s="236"/>
      <c r="EH36" s="236"/>
      <c r="EI36" s="236"/>
      <c r="EJ36" s="236"/>
      <c r="EK36" s="236"/>
      <c r="EL36" s="236"/>
      <c r="EM36" s="236"/>
      <c r="EN36" s="236"/>
      <c r="EO36" s="236"/>
      <c r="EP36" s="236"/>
      <c r="EQ36" s="236"/>
      <c r="ER36" s="236"/>
      <c r="ES36" s="236"/>
      <c r="ET36" s="236"/>
      <c r="EU36" s="236"/>
      <c r="EV36" s="236"/>
      <c r="EW36" s="236"/>
      <c r="EX36" s="236"/>
      <c r="EY36" s="236"/>
      <c r="EZ36" s="236"/>
      <c r="FA36" s="236"/>
      <c r="FB36" s="236"/>
      <c r="FC36" s="236"/>
      <c r="FD36" s="236"/>
      <c r="FE36" s="236"/>
      <c r="FF36" s="236"/>
      <c r="FG36" s="236"/>
      <c r="FH36" s="236"/>
      <c r="FI36" s="236"/>
      <c r="FJ36" s="236"/>
      <c r="FK36" s="236"/>
      <c r="FL36" s="236"/>
      <c r="FM36" s="236"/>
      <c r="FN36" s="236"/>
      <c r="FO36" s="236"/>
      <c r="FP36" s="236"/>
      <c r="FQ36" s="236"/>
      <c r="FR36" s="236"/>
      <c r="FS36" s="236"/>
      <c r="FT36" s="236"/>
      <c r="FU36" s="236"/>
      <c r="FV36" s="236"/>
      <c r="FW36" s="236"/>
      <c r="FX36" s="236"/>
      <c r="FY36" s="236"/>
      <c r="FZ36" s="236"/>
      <c r="GA36" s="236"/>
      <c r="GB36" s="236"/>
      <c r="GC36" s="236"/>
      <c r="GD36" s="236"/>
      <c r="GE36" s="236"/>
      <c r="GF36" s="236"/>
      <c r="GG36" s="236"/>
      <c r="GH36" s="236"/>
      <c r="GI36" s="236"/>
      <c r="GJ36" s="236"/>
      <c r="GK36" s="236"/>
      <c r="GL36" s="236"/>
      <c r="GM36" s="236"/>
      <c r="GN36" s="236"/>
      <c r="GO36" s="236"/>
      <c r="GP36" s="236"/>
      <c r="GQ36" s="236"/>
      <c r="GR36" s="236"/>
      <c r="GS36" s="236"/>
      <c r="GT36" s="236"/>
      <c r="GU36" s="236"/>
      <c r="GV36" s="236"/>
      <c r="GW36" s="236"/>
      <c r="GX36" s="236"/>
      <c r="GY36" s="236"/>
      <c r="GZ36" s="236"/>
      <c r="HA36" s="236"/>
      <c r="HB36" s="236"/>
      <c r="HC36" s="236"/>
      <c r="HD36" s="236"/>
      <c r="HE36" s="236"/>
      <c r="HF36" s="236"/>
      <c r="HG36" s="236"/>
      <c r="HH36" s="236"/>
      <c r="HI36" s="236"/>
      <c r="HJ36" s="236"/>
      <c r="HK36" s="236"/>
      <c r="HL36" s="236"/>
      <c r="HM36" s="236"/>
      <c r="HN36" s="236"/>
      <c r="HO36" s="236"/>
      <c r="HP36" s="236"/>
      <c r="HQ36" s="236"/>
      <c r="HR36" s="236"/>
      <c r="HS36" s="236"/>
      <c r="HT36" s="236"/>
      <c r="HU36" s="236"/>
      <c r="HV36" s="236"/>
      <c r="HW36" s="236"/>
      <c r="HX36" s="236"/>
      <c r="HY36" s="236"/>
      <c r="HZ36" s="236"/>
      <c r="IA36" s="236"/>
      <c r="IB36" s="236"/>
      <c r="IC36" s="236"/>
      <c r="ID36" s="236"/>
      <c r="IE36" s="236"/>
      <c r="IF36" s="236"/>
      <c r="IG36" s="236"/>
      <c r="IH36" s="236"/>
      <c r="II36" s="236"/>
      <c r="IJ36" s="236"/>
      <c r="IK36" s="236"/>
      <c r="IL36" s="236"/>
      <c r="IM36" s="236"/>
      <c r="IN36" s="236"/>
      <c r="IO36" s="236"/>
      <c r="IP36" s="236"/>
      <c r="IQ36" s="236"/>
      <c r="IR36" s="236"/>
      <c r="IS36" s="236"/>
      <c r="IT36" s="236"/>
      <c r="IU36" s="236"/>
      <c r="IV36" s="236"/>
    </row>
    <row r="37" spans="1:256" ht="16.5">
      <c r="A37" s="1427"/>
      <c r="B37" s="251" t="s">
        <v>256</v>
      </c>
      <c r="C37" s="252">
        <f>ROUND(4599*1.05*1.05*1.05,0)</f>
        <v>5324</v>
      </c>
      <c r="D37" s="252">
        <f>C37*3.666667</f>
        <v>19521.335108</v>
      </c>
      <c r="E37" s="252">
        <f>(C37+D37)*1.5</f>
        <v>37268.002662</v>
      </c>
      <c r="F37" s="253">
        <f>1+1</f>
        <v>2</v>
      </c>
      <c r="G37" s="252">
        <f>(C37+D37+E37)*F37</f>
        <v>124226.67554</v>
      </c>
      <c r="H37" s="252">
        <f>G37*12</f>
        <v>1490720.10648</v>
      </c>
      <c r="I37" s="252"/>
      <c r="J37" s="252">
        <f>I37*4.666667</f>
        <v>0</v>
      </c>
      <c r="K37" s="252">
        <f>(I37+J37)*1.5</f>
        <v>0</v>
      </c>
      <c r="L37" s="1425"/>
      <c r="M37" s="252">
        <f>(J37+K37+I37)*F37</f>
        <v>0</v>
      </c>
      <c r="N37" s="254">
        <f>M37*3</f>
        <v>0</v>
      </c>
      <c r="O37" s="252">
        <f>H37*0.28</f>
        <v>417401.62981440005</v>
      </c>
      <c r="P37" s="252">
        <f>O37+H37</f>
        <v>1908121.7362944002</v>
      </c>
      <c r="Q37" s="255"/>
      <c r="R37" s="255"/>
      <c r="S37" s="255"/>
      <c r="T37" s="256"/>
      <c r="U37" s="256"/>
      <c r="V37" s="256"/>
      <c r="W37" s="257"/>
      <c r="X37" s="287"/>
      <c r="Y37" s="288"/>
      <c r="Z37" s="287"/>
      <c r="AA37" s="236"/>
      <c r="AB37" s="236"/>
      <c r="AC37" s="236"/>
      <c r="AD37" s="236"/>
      <c r="AE37" s="236"/>
      <c r="AF37" s="236"/>
      <c r="AG37" s="28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6"/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/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  <c r="DG37" s="236"/>
      <c r="DH37" s="236"/>
      <c r="DI37" s="236"/>
      <c r="DJ37" s="236"/>
      <c r="DK37" s="236"/>
      <c r="DL37" s="236"/>
      <c r="DM37" s="236"/>
      <c r="DN37" s="236"/>
      <c r="DO37" s="236"/>
      <c r="DP37" s="236"/>
      <c r="DQ37" s="236"/>
      <c r="DR37" s="236"/>
      <c r="DS37" s="236"/>
      <c r="DT37" s="236"/>
      <c r="DU37" s="236"/>
      <c r="DV37" s="236"/>
      <c r="DW37" s="236"/>
      <c r="DX37" s="236"/>
      <c r="DY37" s="236"/>
      <c r="DZ37" s="236"/>
      <c r="EA37" s="236"/>
      <c r="EB37" s="236"/>
      <c r="EC37" s="236"/>
      <c r="ED37" s="236"/>
      <c r="EE37" s="236"/>
      <c r="EF37" s="236"/>
      <c r="EG37" s="236"/>
      <c r="EH37" s="236"/>
      <c r="EI37" s="236"/>
      <c r="EJ37" s="236"/>
      <c r="EK37" s="236"/>
      <c r="EL37" s="236"/>
      <c r="EM37" s="236"/>
      <c r="EN37" s="236"/>
      <c r="EO37" s="236"/>
      <c r="EP37" s="236"/>
      <c r="EQ37" s="236"/>
      <c r="ER37" s="236"/>
      <c r="ES37" s="236"/>
      <c r="ET37" s="236"/>
      <c r="EU37" s="236"/>
      <c r="EV37" s="236"/>
      <c r="EW37" s="236"/>
      <c r="EX37" s="236"/>
      <c r="EY37" s="236"/>
      <c r="EZ37" s="236"/>
      <c r="FA37" s="236"/>
      <c r="FB37" s="236"/>
      <c r="FC37" s="236"/>
      <c r="FD37" s="236"/>
      <c r="FE37" s="236"/>
      <c r="FF37" s="236"/>
      <c r="FG37" s="236"/>
      <c r="FH37" s="236"/>
      <c r="FI37" s="236"/>
      <c r="FJ37" s="236"/>
      <c r="FK37" s="236"/>
      <c r="FL37" s="236"/>
      <c r="FM37" s="236"/>
      <c r="FN37" s="236"/>
      <c r="FO37" s="236"/>
      <c r="FP37" s="236"/>
      <c r="FQ37" s="236"/>
      <c r="FR37" s="236"/>
      <c r="FS37" s="236"/>
      <c r="FT37" s="236"/>
      <c r="FU37" s="236"/>
      <c r="FV37" s="236"/>
      <c r="FW37" s="236"/>
      <c r="FX37" s="236"/>
      <c r="FY37" s="236"/>
      <c r="FZ37" s="236"/>
      <c r="GA37" s="236"/>
      <c r="GB37" s="236"/>
      <c r="GC37" s="236"/>
      <c r="GD37" s="236"/>
      <c r="GE37" s="236"/>
      <c r="GF37" s="236"/>
      <c r="GG37" s="236"/>
      <c r="GH37" s="236"/>
      <c r="GI37" s="236"/>
      <c r="GJ37" s="236"/>
      <c r="GK37" s="236"/>
      <c r="GL37" s="236"/>
      <c r="GM37" s="236"/>
      <c r="GN37" s="236"/>
      <c r="GO37" s="236"/>
      <c r="GP37" s="236"/>
      <c r="GQ37" s="236"/>
      <c r="GR37" s="236"/>
      <c r="GS37" s="236"/>
      <c r="GT37" s="236"/>
      <c r="GU37" s="236"/>
      <c r="GV37" s="236"/>
      <c r="GW37" s="236"/>
      <c r="GX37" s="236"/>
      <c r="GY37" s="236"/>
      <c r="GZ37" s="236"/>
      <c r="HA37" s="236"/>
      <c r="HB37" s="236"/>
      <c r="HC37" s="236"/>
      <c r="HD37" s="236"/>
      <c r="HE37" s="236"/>
      <c r="HF37" s="236"/>
      <c r="HG37" s="236"/>
      <c r="HH37" s="236"/>
      <c r="HI37" s="236"/>
      <c r="HJ37" s="236"/>
      <c r="HK37" s="236"/>
      <c r="HL37" s="236"/>
      <c r="HM37" s="236"/>
      <c r="HN37" s="236"/>
      <c r="HO37" s="236"/>
      <c r="HP37" s="236"/>
      <c r="HQ37" s="236"/>
      <c r="HR37" s="236"/>
      <c r="HS37" s="236"/>
      <c r="HT37" s="236"/>
      <c r="HU37" s="236"/>
      <c r="HV37" s="236"/>
      <c r="HW37" s="236"/>
      <c r="HX37" s="236"/>
      <c r="HY37" s="236"/>
      <c r="HZ37" s="236"/>
      <c r="IA37" s="236"/>
      <c r="IB37" s="236"/>
      <c r="IC37" s="236"/>
      <c r="ID37" s="236"/>
      <c r="IE37" s="236"/>
      <c r="IF37" s="236"/>
      <c r="IG37" s="236"/>
      <c r="IH37" s="236"/>
      <c r="II37" s="236"/>
      <c r="IJ37" s="236"/>
      <c r="IK37" s="236"/>
      <c r="IL37" s="236"/>
      <c r="IM37" s="236"/>
      <c r="IN37" s="236"/>
      <c r="IO37" s="236"/>
      <c r="IP37" s="236"/>
      <c r="IQ37" s="236"/>
      <c r="IR37" s="236"/>
      <c r="IS37" s="236"/>
      <c r="IT37" s="236"/>
      <c r="IU37" s="236"/>
      <c r="IV37" s="236"/>
    </row>
    <row r="38" spans="1:256" ht="17.25" thickBot="1">
      <c r="A38" s="299" t="s">
        <v>181</v>
      </c>
      <c r="B38" s="260"/>
      <c r="C38" s="261"/>
      <c r="D38" s="261"/>
      <c r="E38" s="261"/>
      <c r="F38" s="262">
        <f>SUM(F36:F37)</f>
        <v>3</v>
      </c>
      <c r="G38" s="261">
        <f>SUM(G36:G37)</f>
        <v>196233.34735</v>
      </c>
      <c r="H38" s="261">
        <f aca="true" t="shared" si="15" ref="H38:N38">SUM(H36:H37)</f>
        <v>2354800.1682</v>
      </c>
      <c r="I38" s="261">
        <f t="shared" si="15"/>
        <v>0</v>
      </c>
      <c r="J38" s="261">
        <f t="shared" si="15"/>
        <v>0</v>
      </c>
      <c r="K38" s="261">
        <f t="shared" si="15"/>
        <v>0</v>
      </c>
      <c r="L38" s="261">
        <f t="shared" si="15"/>
        <v>0</v>
      </c>
      <c r="M38" s="261">
        <f t="shared" si="15"/>
        <v>0</v>
      </c>
      <c r="N38" s="261">
        <f t="shared" si="15"/>
        <v>0</v>
      </c>
      <c r="O38" s="261">
        <f>SUM(O36:O37)</f>
        <v>659344.047096</v>
      </c>
      <c r="P38" s="261">
        <f>SUM(P36:P37)</f>
        <v>3014144.2152960002</v>
      </c>
      <c r="Q38" s="281">
        <f>P38/1000</f>
        <v>3014.1442152960003</v>
      </c>
      <c r="R38" s="281">
        <f>(174.6+12.8+10.6)*1.055*1.055*1.05</f>
        <v>231.39789749999997</v>
      </c>
      <c r="S38" s="282">
        <f>48.2*1.055*1.055*1.05</f>
        <v>56.33019525</v>
      </c>
      <c r="T38" s="263">
        <v>0</v>
      </c>
      <c r="U38" s="263">
        <f>79*1.055*1.055</f>
        <v>87.928975</v>
      </c>
      <c r="V38" s="263">
        <f>26.6*1.055*1.055</f>
        <v>29.606464999999996</v>
      </c>
      <c r="W38" s="300">
        <f>32.5/2*3</f>
        <v>48.75</v>
      </c>
      <c r="X38" s="273">
        <v>3468.2</v>
      </c>
      <c r="Y38" s="301">
        <v>3475</v>
      </c>
      <c r="Z38" s="302">
        <v>3480</v>
      </c>
      <c r="AA38" s="236"/>
      <c r="AB38" s="276"/>
      <c r="AC38" s="236"/>
      <c r="AD38" s="236"/>
      <c r="AE38" s="236"/>
      <c r="AF38" s="236"/>
      <c r="AG38" s="278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/>
      <c r="CV38" s="236"/>
      <c r="CW38" s="236"/>
      <c r="CX38" s="236"/>
      <c r="CY38" s="236"/>
      <c r="CZ38" s="236"/>
      <c r="DA38" s="236"/>
      <c r="DB38" s="236"/>
      <c r="DC38" s="236"/>
      <c r="DD38" s="236"/>
      <c r="DE38" s="236"/>
      <c r="DF38" s="236"/>
      <c r="DG38" s="236"/>
      <c r="DH38" s="236"/>
      <c r="DI38" s="236"/>
      <c r="DJ38" s="236"/>
      <c r="DK38" s="236"/>
      <c r="DL38" s="236"/>
      <c r="DM38" s="236"/>
      <c r="DN38" s="236"/>
      <c r="DO38" s="236"/>
      <c r="DP38" s="236"/>
      <c r="DQ38" s="236"/>
      <c r="DR38" s="236"/>
      <c r="DS38" s="236"/>
      <c r="DT38" s="236"/>
      <c r="DU38" s="236"/>
      <c r="DV38" s="236"/>
      <c r="DW38" s="236"/>
      <c r="DX38" s="236"/>
      <c r="DY38" s="236"/>
      <c r="DZ38" s="236"/>
      <c r="EA38" s="236"/>
      <c r="EB38" s="236"/>
      <c r="EC38" s="236"/>
      <c r="ED38" s="236"/>
      <c r="EE38" s="236"/>
      <c r="EF38" s="236"/>
      <c r="EG38" s="236"/>
      <c r="EH38" s="236"/>
      <c r="EI38" s="236"/>
      <c r="EJ38" s="236"/>
      <c r="EK38" s="236"/>
      <c r="EL38" s="236"/>
      <c r="EM38" s="236"/>
      <c r="EN38" s="236"/>
      <c r="EO38" s="236"/>
      <c r="EP38" s="236"/>
      <c r="EQ38" s="236"/>
      <c r="ER38" s="236"/>
      <c r="ES38" s="236"/>
      <c r="ET38" s="236"/>
      <c r="EU38" s="236"/>
      <c r="EV38" s="236"/>
      <c r="EW38" s="236"/>
      <c r="EX38" s="236"/>
      <c r="EY38" s="236"/>
      <c r="EZ38" s="236"/>
      <c r="FA38" s="236"/>
      <c r="FB38" s="236"/>
      <c r="FC38" s="236"/>
      <c r="FD38" s="236"/>
      <c r="FE38" s="236"/>
      <c r="FF38" s="236"/>
      <c r="FG38" s="236"/>
      <c r="FH38" s="236"/>
      <c r="FI38" s="236"/>
      <c r="FJ38" s="236"/>
      <c r="FK38" s="236"/>
      <c r="FL38" s="236"/>
      <c r="FM38" s="236"/>
      <c r="FN38" s="236"/>
      <c r="FO38" s="236"/>
      <c r="FP38" s="236"/>
      <c r="FQ38" s="236"/>
      <c r="FR38" s="236"/>
      <c r="FS38" s="236"/>
      <c r="FT38" s="236"/>
      <c r="FU38" s="236"/>
      <c r="FV38" s="236"/>
      <c r="FW38" s="236"/>
      <c r="FX38" s="236"/>
      <c r="FY38" s="236"/>
      <c r="FZ38" s="236"/>
      <c r="GA38" s="236"/>
      <c r="GB38" s="236"/>
      <c r="GC38" s="236"/>
      <c r="GD38" s="236"/>
      <c r="GE38" s="236"/>
      <c r="GF38" s="236"/>
      <c r="GG38" s="236"/>
      <c r="GH38" s="236"/>
      <c r="GI38" s="236"/>
      <c r="GJ38" s="236"/>
      <c r="GK38" s="236"/>
      <c r="GL38" s="236"/>
      <c r="GM38" s="236"/>
      <c r="GN38" s="236"/>
      <c r="GO38" s="236"/>
      <c r="GP38" s="236"/>
      <c r="GQ38" s="236"/>
      <c r="GR38" s="236"/>
      <c r="GS38" s="236"/>
      <c r="GT38" s="236"/>
      <c r="GU38" s="236"/>
      <c r="GV38" s="236"/>
      <c r="GW38" s="236"/>
      <c r="GX38" s="236"/>
      <c r="GY38" s="236"/>
      <c r="GZ38" s="236"/>
      <c r="HA38" s="236"/>
      <c r="HB38" s="236"/>
      <c r="HC38" s="236"/>
      <c r="HD38" s="236"/>
      <c r="HE38" s="236"/>
      <c r="HF38" s="236"/>
      <c r="HG38" s="236"/>
      <c r="HH38" s="236"/>
      <c r="HI38" s="236"/>
      <c r="HJ38" s="236"/>
      <c r="HK38" s="236"/>
      <c r="HL38" s="236"/>
      <c r="HM38" s="236"/>
      <c r="HN38" s="236"/>
      <c r="HO38" s="236"/>
      <c r="HP38" s="236"/>
      <c r="HQ38" s="236"/>
      <c r="HR38" s="236"/>
      <c r="HS38" s="236"/>
      <c r="HT38" s="236"/>
      <c r="HU38" s="236"/>
      <c r="HV38" s="236"/>
      <c r="HW38" s="236"/>
      <c r="HX38" s="236"/>
      <c r="HY38" s="236"/>
      <c r="HZ38" s="236"/>
      <c r="IA38" s="236"/>
      <c r="IB38" s="236"/>
      <c r="IC38" s="236"/>
      <c r="ID38" s="236"/>
      <c r="IE38" s="236"/>
      <c r="IF38" s="236"/>
      <c r="IG38" s="236"/>
      <c r="IH38" s="236"/>
      <c r="II38" s="236"/>
      <c r="IJ38" s="236"/>
      <c r="IK38" s="236"/>
      <c r="IL38" s="236"/>
      <c r="IM38" s="236"/>
      <c r="IN38" s="236"/>
      <c r="IO38" s="236"/>
      <c r="IP38" s="236"/>
      <c r="IQ38" s="236"/>
      <c r="IR38" s="236"/>
      <c r="IS38" s="236"/>
      <c r="IT38" s="236"/>
      <c r="IU38" s="236"/>
      <c r="IV38" s="236"/>
    </row>
    <row r="39" spans="1:256" ht="17.25" thickBot="1">
      <c r="A39" s="303" t="s">
        <v>37</v>
      </c>
      <c r="B39" s="304"/>
      <c r="C39" s="305"/>
      <c r="D39" s="305"/>
      <c r="E39" s="305"/>
      <c r="F39" s="306">
        <f>F15+F24+F26+F29+F32+F35+F38+F18+F20</f>
        <v>31</v>
      </c>
      <c r="G39" s="306">
        <f aca="true" t="shared" si="16" ref="G39:Z39">G15+G24+G26+G29+G32+G35+G38+G18+G20</f>
        <v>2023109.9426306998</v>
      </c>
      <c r="H39" s="306">
        <f t="shared" si="16"/>
        <v>24277319.311568398</v>
      </c>
      <c r="I39" s="306">
        <f t="shared" si="16"/>
        <v>0</v>
      </c>
      <c r="J39" s="306">
        <f t="shared" si="16"/>
        <v>0</v>
      </c>
      <c r="K39" s="306">
        <f t="shared" si="16"/>
        <v>0</v>
      </c>
      <c r="L39" s="306">
        <f t="shared" si="16"/>
        <v>0</v>
      </c>
      <c r="M39" s="306">
        <f t="shared" si="16"/>
        <v>0</v>
      </c>
      <c r="N39" s="306">
        <f t="shared" si="16"/>
        <v>0</v>
      </c>
      <c r="O39" s="306">
        <f t="shared" si="16"/>
        <v>6817997.6481970325</v>
      </c>
      <c r="P39" s="306">
        <f t="shared" si="16"/>
        <v>31095316.959765434</v>
      </c>
      <c r="Q39" s="306">
        <f t="shared" si="16"/>
        <v>31095.316959765438</v>
      </c>
      <c r="R39" s="306">
        <f t="shared" si="16"/>
        <v>1826.8934171249998</v>
      </c>
      <c r="S39" s="306">
        <f t="shared" si="16"/>
        <v>344.31019349999997</v>
      </c>
      <c r="T39" s="306">
        <f t="shared" si="16"/>
        <v>681.13064</v>
      </c>
      <c r="U39" s="306">
        <f t="shared" si="16"/>
        <v>327.09012749999994</v>
      </c>
      <c r="V39" s="306">
        <f t="shared" si="16"/>
        <v>790.3298724999999</v>
      </c>
      <c r="W39" s="306">
        <f t="shared" si="16"/>
        <v>793.475</v>
      </c>
      <c r="X39" s="1035">
        <f t="shared" si="16"/>
        <v>35858.6</v>
      </c>
      <c r="Y39" s="1037">
        <f t="shared" si="16"/>
        <v>35986.5</v>
      </c>
      <c r="Z39" s="1036">
        <f t="shared" si="16"/>
        <v>36072.6</v>
      </c>
      <c r="AA39" s="236"/>
      <c r="AB39" s="236"/>
      <c r="AC39" s="236"/>
      <c r="AD39" s="236"/>
      <c r="AE39" s="236"/>
      <c r="AF39" s="236"/>
      <c r="AG39" s="278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6"/>
      <c r="CE39" s="236"/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236"/>
      <c r="CQ39" s="236"/>
      <c r="CR39" s="236"/>
      <c r="CS39" s="236"/>
      <c r="CT39" s="236"/>
      <c r="CU39" s="236"/>
      <c r="CV39" s="236"/>
      <c r="CW39" s="236"/>
      <c r="CX39" s="236"/>
      <c r="CY39" s="236"/>
      <c r="CZ39" s="236"/>
      <c r="DA39" s="236"/>
      <c r="DB39" s="236"/>
      <c r="DC39" s="236"/>
      <c r="DD39" s="236"/>
      <c r="DE39" s="236"/>
      <c r="DF39" s="236"/>
      <c r="DG39" s="236"/>
      <c r="DH39" s="236"/>
      <c r="DI39" s="236"/>
      <c r="DJ39" s="236"/>
      <c r="DK39" s="236"/>
      <c r="DL39" s="236"/>
      <c r="DM39" s="236"/>
      <c r="DN39" s="236"/>
      <c r="DO39" s="236"/>
      <c r="DP39" s="236"/>
      <c r="DQ39" s="236"/>
      <c r="DR39" s="236"/>
      <c r="DS39" s="236"/>
      <c r="DT39" s="236"/>
      <c r="DU39" s="236"/>
      <c r="DV39" s="236"/>
      <c r="DW39" s="236"/>
      <c r="DX39" s="236"/>
      <c r="DY39" s="236"/>
      <c r="DZ39" s="236"/>
      <c r="EA39" s="236"/>
      <c r="EB39" s="236"/>
      <c r="EC39" s="236"/>
      <c r="ED39" s="236"/>
      <c r="EE39" s="236"/>
      <c r="EF39" s="236"/>
      <c r="EG39" s="236"/>
      <c r="EH39" s="236"/>
      <c r="EI39" s="236"/>
      <c r="EJ39" s="236"/>
      <c r="EK39" s="236"/>
      <c r="EL39" s="236"/>
      <c r="EM39" s="236"/>
      <c r="EN39" s="236"/>
      <c r="EO39" s="236"/>
      <c r="EP39" s="236"/>
      <c r="EQ39" s="236"/>
      <c r="ER39" s="236"/>
      <c r="ES39" s="236"/>
      <c r="ET39" s="236"/>
      <c r="EU39" s="236"/>
      <c r="EV39" s="236"/>
      <c r="EW39" s="236"/>
      <c r="EX39" s="236"/>
      <c r="EY39" s="236"/>
      <c r="EZ39" s="236"/>
      <c r="FA39" s="236"/>
      <c r="FB39" s="236"/>
      <c r="FC39" s="236"/>
      <c r="FD39" s="236"/>
      <c r="FE39" s="236"/>
      <c r="FF39" s="236"/>
      <c r="FG39" s="236"/>
      <c r="FH39" s="236"/>
      <c r="FI39" s="236"/>
      <c r="FJ39" s="236"/>
      <c r="FK39" s="236"/>
      <c r="FL39" s="236"/>
      <c r="FM39" s="236"/>
      <c r="FN39" s="236"/>
      <c r="FO39" s="236"/>
      <c r="FP39" s="236"/>
      <c r="FQ39" s="236"/>
      <c r="FR39" s="236"/>
      <c r="FS39" s="236"/>
      <c r="FT39" s="236"/>
      <c r="FU39" s="236"/>
      <c r="FV39" s="236"/>
      <c r="FW39" s="236"/>
      <c r="FX39" s="236"/>
      <c r="FY39" s="236"/>
      <c r="FZ39" s="236"/>
      <c r="GA39" s="236"/>
      <c r="GB39" s="236"/>
      <c r="GC39" s="236"/>
      <c r="GD39" s="236"/>
      <c r="GE39" s="236"/>
      <c r="GF39" s="236"/>
      <c r="GG39" s="236"/>
      <c r="GH39" s="236"/>
      <c r="GI39" s="236"/>
      <c r="GJ39" s="236"/>
      <c r="GK39" s="236"/>
      <c r="GL39" s="236"/>
      <c r="GM39" s="236"/>
      <c r="GN39" s="236"/>
      <c r="GO39" s="236"/>
      <c r="GP39" s="236"/>
      <c r="GQ39" s="236"/>
      <c r="GR39" s="236"/>
      <c r="GS39" s="236"/>
      <c r="GT39" s="236"/>
      <c r="GU39" s="236"/>
      <c r="GV39" s="236"/>
      <c r="GW39" s="236"/>
      <c r="GX39" s="236"/>
      <c r="GY39" s="236"/>
      <c r="GZ39" s="236"/>
      <c r="HA39" s="236"/>
      <c r="HB39" s="236"/>
      <c r="HC39" s="236"/>
      <c r="HD39" s="236"/>
      <c r="HE39" s="236"/>
      <c r="HF39" s="236"/>
      <c r="HG39" s="236"/>
      <c r="HH39" s="236"/>
      <c r="HI39" s="236"/>
      <c r="HJ39" s="236"/>
      <c r="HK39" s="236"/>
      <c r="HL39" s="236"/>
      <c r="HM39" s="236"/>
      <c r="HN39" s="236"/>
      <c r="HO39" s="236"/>
      <c r="HP39" s="236"/>
      <c r="HQ39" s="236"/>
      <c r="HR39" s="236"/>
      <c r="HS39" s="236"/>
      <c r="HT39" s="236"/>
      <c r="HU39" s="236"/>
      <c r="HV39" s="236"/>
      <c r="HW39" s="236"/>
      <c r="HX39" s="236"/>
      <c r="HY39" s="236"/>
      <c r="HZ39" s="236"/>
      <c r="IA39" s="236"/>
      <c r="IB39" s="236"/>
      <c r="IC39" s="236"/>
      <c r="ID39" s="236"/>
      <c r="IE39" s="236"/>
      <c r="IF39" s="236"/>
      <c r="IG39" s="236"/>
      <c r="IH39" s="236"/>
      <c r="II39" s="236"/>
      <c r="IJ39" s="236"/>
      <c r="IK39" s="236"/>
      <c r="IL39" s="236"/>
      <c r="IM39" s="236"/>
      <c r="IN39" s="236"/>
      <c r="IO39" s="236"/>
      <c r="IP39" s="236"/>
      <c r="IQ39" s="236"/>
      <c r="IR39" s="236"/>
      <c r="IS39" s="236"/>
      <c r="IT39" s="236"/>
      <c r="IU39" s="236"/>
      <c r="IV39" s="236"/>
    </row>
    <row r="40" spans="1:256" ht="12.75">
      <c r="A40" s="236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36"/>
      <c r="BR40" s="236"/>
      <c r="BS40" s="236"/>
      <c r="BT40" s="236"/>
      <c r="BU40" s="236"/>
      <c r="BV40" s="236"/>
      <c r="BW40" s="236"/>
      <c r="BX40" s="236"/>
      <c r="BY40" s="236"/>
      <c r="BZ40" s="236"/>
      <c r="CA40" s="236"/>
      <c r="CB40" s="236"/>
      <c r="CC40" s="236"/>
      <c r="CD40" s="236"/>
      <c r="CE40" s="236"/>
      <c r="CF40" s="236"/>
      <c r="CG40" s="236"/>
      <c r="CH40" s="236"/>
      <c r="CI40" s="236"/>
      <c r="CJ40" s="236"/>
      <c r="CK40" s="236"/>
      <c r="CL40" s="236"/>
      <c r="CM40" s="236"/>
      <c r="CN40" s="236"/>
      <c r="CO40" s="236"/>
      <c r="CP40" s="236"/>
      <c r="CQ40" s="236"/>
      <c r="CR40" s="236"/>
      <c r="CS40" s="236"/>
      <c r="CT40" s="236"/>
      <c r="CU40" s="236"/>
      <c r="CV40" s="236"/>
      <c r="CW40" s="236"/>
      <c r="CX40" s="236"/>
      <c r="CY40" s="236"/>
      <c r="CZ40" s="236"/>
      <c r="DA40" s="236"/>
      <c r="DB40" s="236"/>
      <c r="DC40" s="236"/>
      <c r="DD40" s="236"/>
      <c r="DE40" s="236"/>
      <c r="DF40" s="236"/>
      <c r="DG40" s="236"/>
      <c r="DH40" s="236"/>
      <c r="DI40" s="236"/>
      <c r="DJ40" s="236"/>
      <c r="DK40" s="236"/>
      <c r="DL40" s="236"/>
      <c r="DM40" s="236"/>
      <c r="DN40" s="236"/>
      <c r="DO40" s="236"/>
      <c r="DP40" s="236"/>
      <c r="DQ40" s="236"/>
      <c r="DR40" s="236"/>
      <c r="DS40" s="236"/>
      <c r="DT40" s="236"/>
      <c r="DU40" s="236"/>
      <c r="DV40" s="236"/>
      <c r="DW40" s="236"/>
      <c r="DX40" s="236"/>
      <c r="DY40" s="236"/>
      <c r="DZ40" s="236"/>
      <c r="EA40" s="236"/>
      <c r="EB40" s="236"/>
      <c r="EC40" s="236"/>
      <c r="ED40" s="236"/>
      <c r="EE40" s="236"/>
      <c r="EF40" s="236"/>
      <c r="EG40" s="236"/>
      <c r="EH40" s="236"/>
      <c r="EI40" s="236"/>
      <c r="EJ40" s="236"/>
      <c r="EK40" s="236"/>
      <c r="EL40" s="236"/>
      <c r="EM40" s="236"/>
      <c r="EN40" s="236"/>
      <c r="EO40" s="236"/>
      <c r="EP40" s="236"/>
      <c r="EQ40" s="236"/>
      <c r="ER40" s="236"/>
      <c r="ES40" s="236"/>
      <c r="ET40" s="236"/>
      <c r="EU40" s="236"/>
      <c r="EV40" s="236"/>
      <c r="EW40" s="236"/>
      <c r="EX40" s="236"/>
      <c r="EY40" s="236"/>
      <c r="EZ40" s="236"/>
      <c r="FA40" s="236"/>
      <c r="FB40" s="236"/>
      <c r="FC40" s="236"/>
      <c r="FD40" s="236"/>
      <c r="FE40" s="236"/>
      <c r="FF40" s="236"/>
      <c r="FG40" s="236"/>
      <c r="FH40" s="236"/>
      <c r="FI40" s="236"/>
      <c r="FJ40" s="236"/>
      <c r="FK40" s="236"/>
      <c r="FL40" s="236"/>
      <c r="FM40" s="236"/>
      <c r="FN40" s="236"/>
      <c r="FO40" s="236"/>
      <c r="FP40" s="236"/>
      <c r="FQ40" s="236"/>
      <c r="FR40" s="236"/>
      <c r="FS40" s="236"/>
      <c r="FT40" s="236"/>
      <c r="FU40" s="236"/>
      <c r="FV40" s="236"/>
      <c r="FW40" s="236"/>
      <c r="FX40" s="236"/>
      <c r="FY40" s="236"/>
      <c r="FZ40" s="236"/>
      <c r="GA40" s="236"/>
      <c r="GB40" s="236"/>
      <c r="GC40" s="236"/>
      <c r="GD40" s="236"/>
      <c r="GE40" s="236"/>
      <c r="GF40" s="236"/>
      <c r="GG40" s="236"/>
      <c r="GH40" s="236"/>
      <c r="GI40" s="236"/>
      <c r="GJ40" s="236"/>
      <c r="GK40" s="236"/>
      <c r="GL40" s="236"/>
      <c r="GM40" s="236"/>
      <c r="GN40" s="236"/>
      <c r="GO40" s="236"/>
      <c r="GP40" s="236"/>
      <c r="GQ40" s="236"/>
      <c r="GR40" s="236"/>
      <c r="GS40" s="236"/>
      <c r="GT40" s="236"/>
      <c r="GU40" s="236"/>
      <c r="GV40" s="236"/>
      <c r="GW40" s="236"/>
      <c r="GX40" s="236"/>
      <c r="GY40" s="236"/>
      <c r="GZ40" s="236"/>
      <c r="HA40" s="236"/>
      <c r="HB40" s="236"/>
      <c r="HC40" s="236"/>
      <c r="HD40" s="236"/>
      <c r="HE40" s="236"/>
      <c r="HF40" s="236"/>
      <c r="HG40" s="236"/>
      <c r="HH40" s="236"/>
      <c r="HI40" s="236"/>
      <c r="HJ40" s="236"/>
      <c r="HK40" s="236"/>
      <c r="HL40" s="236"/>
      <c r="HM40" s="236"/>
      <c r="HN40" s="236"/>
      <c r="HO40" s="236"/>
      <c r="HP40" s="236"/>
      <c r="HQ40" s="236"/>
      <c r="HR40" s="236"/>
      <c r="HS40" s="236"/>
      <c r="HT40" s="236"/>
      <c r="HU40" s="236"/>
      <c r="HV40" s="236"/>
      <c r="HW40" s="236"/>
      <c r="HX40" s="236"/>
      <c r="HY40" s="236"/>
      <c r="HZ40" s="236"/>
      <c r="IA40" s="236"/>
      <c r="IB40" s="236"/>
      <c r="IC40" s="236"/>
      <c r="ID40" s="236"/>
      <c r="IE40" s="236"/>
      <c r="IF40" s="236"/>
      <c r="IG40" s="236"/>
      <c r="IH40" s="236"/>
      <c r="II40" s="236"/>
      <c r="IJ40" s="236"/>
      <c r="IK40" s="236"/>
      <c r="IL40" s="236"/>
      <c r="IM40" s="236"/>
      <c r="IN40" s="236"/>
      <c r="IO40" s="236"/>
      <c r="IP40" s="236"/>
      <c r="IQ40" s="236"/>
      <c r="IR40" s="236"/>
      <c r="IS40" s="236"/>
      <c r="IT40" s="236"/>
      <c r="IU40" s="236"/>
      <c r="IV40" s="236"/>
    </row>
    <row r="41" spans="1:256" ht="16.5">
      <c r="A41" s="236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307"/>
      <c r="M41" s="307"/>
      <c r="N41" s="307"/>
      <c r="O41" s="236"/>
      <c r="P41" s="236"/>
      <c r="Q41" s="236"/>
      <c r="R41" s="236"/>
      <c r="S41" s="236"/>
      <c r="T41" s="1422"/>
      <c r="U41" s="1423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36"/>
      <c r="CY41" s="236"/>
      <c r="CZ41" s="236"/>
      <c r="DA41" s="236"/>
      <c r="DB41" s="236"/>
      <c r="DC41" s="236"/>
      <c r="DD41" s="236"/>
      <c r="DE41" s="236"/>
      <c r="DF41" s="236"/>
      <c r="DG41" s="236"/>
      <c r="DH41" s="236"/>
      <c r="DI41" s="236"/>
      <c r="DJ41" s="236"/>
      <c r="DK41" s="236"/>
      <c r="DL41" s="236"/>
      <c r="DM41" s="236"/>
      <c r="DN41" s="236"/>
      <c r="DO41" s="236"/>
      <c r="DP41" s="236"/>
      <c r="DQ41" s="236"/>
      <c r="DR41" s="236"/>
      <c r="DS41" s="236"/>
      <c r="DT41" s="236"/>
      <c r="DU41" s="236"/>
      <c r="DV41" s="236"/>
      <c r="DW41" s="236"/>
      <c r="DX41" s="236"/>
      <c r="DY41" s="236"/>
      <c r="DZ41" s="236"/>
      <c r="EA41" s="236"/>
      <c r="EB41" s="236"/>
      <c r="EC41" s="236"/>
      <c r="ED41" s="236"/>
      <c r="EE41" s="236"/>
      <c r="EF41" s="236"/>
      <c r="EG41" s="236"/>
      <c r="EH41" s="236"/>
      <c r="EI41" s="236"/>
      <c r="EJ41" s="236"/>
      <c r="EK41" s="236"/>
      <c r="EL41" s="236"/>
      <c r="EM41" s="236"/>
      <c r="EN41" s="236"/>
      <c r="EO41" s="236"/>
      <c r="EP41" s="236"/>
      <c r="EQ41" s="236"/>
      <c r="ER41" s="236"/>
      <c r="ES41" s="236"/>
      <c r="ET41" s="236"/>
      <c r="EU41" s="236"/>
      <c r="EV41" s="236"/>
      <c r="EW41" s="236"/>
      <c r="EX41" s="236"/>
      <c r="EY41" s="236"/>
      <c r="EZ41" s="236"/>
      <c r="FA41" s="236"/>
      <c r="FB41" s="236"/>
      <c r="FC41" s="236"/>
      <c r="FD41" s="236"/>
      <c r="FE41" s="236"/>
      <c r="FF41" s="236"/>
      <c r="FG41" s="236"/>
      <c r="FH41" s="236"/>
      <c r="FI41" s="236"/>
      <c r="FJ41" s="236"/>
      <c r="FK41" s="236"/>
      <c r="FL41" s="236"/>
      <c r="FM41" s="236"/>
      <c r="FN41" s="236"/>
      <c r="FO41" s="236"/>
      <c r="FP41" s="236"/>
      <c r="FQ41" s="236"/>
      <c r="FR41" s="236"/>
      <c r="FS41" s="236"/>
      <c r="FT41" s="236"/>
      <c r="FU41" s="236"/>
      <c r="FV41" s="236"/>
      <c r="FW41" s="236"/>
      <c r="FX41" s="236"/>
      <c r="FY41" s="236"/>
      <c r="FZ41" s="236"/>
      <c r="GA41" s="236"/>
      <c r="GB41" s="236"/>
      <c r="GC41" s="236"/>
      <c r="GD41" s="236"/>
      <c r="GE41" s="236"/>
      <c r="GF41" s="236"/>
      <c r="GG41" s="236"/>
      <c r="GH41" s="236"/>
      <c r="GI41" s="236"/>
      <c r="GJ41" s="236"/>
      <c r="GK41" s="236"/>
      <c r="GL41" s="236"/>
      <c r="GM41" s="236"/>
      <c r="GN41" s="236"/>
      <c r="GO41" s="236"/>
      <c r="GP41" s="236"/>
      <c r="GQ41" s="236"/>
      <c r="GR41" s="236"/>
      <c r="GS41" s="236"/>
      <c r="GT41" s="236"/>
      <c r="GU41" s="236"/>
      <c r="GV41" s="236"/>
      <c r="GW41" s="236"/>
      <c r="GX41" s="236"/>
      <c r="GY41" s="236"/>
      <c r="GZ41" s="236"/>
      <c r="HA41" s="236"/>
      <c r="HB41" s="236"/>
      <c r="HC41" s="236"/>
      <c r="HD41" s="236"/>
      <c r="HE41" s="236"/>
      <c r="HF41" s="236"/>
      <c r="HG41" s="236"/>
      <c r="HH41" s="236"/>
      <c r="HI41" s="236"/>
      <c r="HJ41" s="236"/>
      <c r="HK41" s="236"/>
      <c r="HL41" s="236"/>
      <c r="HM41" s="236"/>
      <c r="HN41" s="236"/>
      <c r="HO41" s="236"/>
      <c r="HP41" s="236"/>
      <c r="HQ41" s="236"/>
      <c r="HR41" s="236"/>
      <c r="HS41" s="236"/>
      <c r="HT41" s="236"/>
      <c r="HU41" s="236"/>
      <c r="HV41" s="236"/>
      <c r="HW41" s="236"/>
      <c r="HX41" s="236"/>
      <c r="HY41" s="236"/>
      <c r="HZ41" s="236"/>
      <c r="IA41" s="236"/>
      <c r="IB41" s="236"/>
      <c r="IC41" s="236"/>
      <c r="ID41" s="236"/>
      <c r="IE41" s="236"/>
      <c r="IF41" s="236"/>
      <c r="IG41" s="236"/>
      <c r="IH41" s="236"/>
      <c r="II41" s="236"/>
      <c r="IJ41" s="236"/>
      <c r="IK41" s="236"/>
      <c r="IL41" s="236"/>
      <c r="IM41" s="236"/>
      <c r="IN41" s="236"/>
      <c r="IO41" s="236"/>
      <c r="IP41" s="236"/>
      <c r="IQ41" s="236"/>
      <c r="IR41" s="236"/>
      <c r="IS41" s="236"/>
      <c r="IT41" s="236"/>
      <c r="IU41" s="236"/>
      <c r="IV41" s="236"/>
    </row>
  </sheetData>
  <sheetProtection/>
  <mergeCells count="50">
    <mergeCell ref="A33:A34"/>
    <mergeCell ref="L33:L34"/>
    <mergeCell ref="L9:L14"/>
    <mergeCell ref="A36:A37"/>
    <mergeCell ref="L36:L37"/>
    <mergeCell ref="A22:A23"/>
    <mergeCell ref="L22:L23"/>
    <mergeCell ref="A16:A17"/>
    <mergeCell ref="L16:L17"/>
    <mergeCell ref="A27:A28"/>
    <mergeCell ref="L27:L28"/>
    <mergeCell ref="A30:A31"/>
    <mergeCell ref="L30:L31"/>
    <mergeCell ref="AD6:AD8"/>
    <mergeCell ref="Y5:Y8"/>
    <mergeCell ref="R6:R8"/>
    <mergeCell ref="M6:M8"/>
    <mergeCell ref="S6:S8"/>
    <mergeCell ref="O6:O8"/>
    <mergeCell ref="A9:A14"/>
    <mergeCell ref="AG5:AG8"/>
    <mergeCell ref="C6:C8"/>
    <mergeCell ref="D6:D8"/>
    <mergeCell ref="E6:E8"/>
    <mergeCell ref="F6:F8"/>
    <mergeCell ref="T41:U41"/>
    <mergeCell ref="X5:X8"/>
    <mergeCell ref="V6:V8"/>
    <mergeCell ref="AA6:AA8"/>
    <mergeCell ref="AB6:AB8"/>
    <mergeCell ref="W6:W8"/>
    <mergeCell ref="G6:G8"/>
    <mergeCell ref="AE6:AE8"/>
    <mergeCell ref="N6:N8"/>
    <mergeCell ref="AC6:AC8"/>
    <mergeCell ref="A1:Z1"/>
    <mergeCell ref="A2:Z2"/>
    <mergeCell ref="A5:A8"/>
    <mergeCell ref="B5:B8"/>
    <mergeCell ref="L5:L8"/>
    <mergeCell ref="H6:H8"/>
    <mergeCell ref="Z5:Z8"/>
    <mergeCell ref="I6:I8"/>
    <mergeCell ref="AF6:AF8"/>
    <mergeCell ref="J6:J8"/>
    <mergeCell ref="T6:T8"/>
    <mergeCell ref="P6:P8"/>
    <mergeCell ref="Q6:Q8"/>
    <mergeCell ref="U6:U8"/>
    <mergeCell ref="K6:K8"/>
  </mergeCells>
  <printOptions/>
  <pageMargins left="0.2" right="0.18" top="0.7480314960629921" bottom="0.7480314960629921" header="0.31496062992125984" footer="0.31496062992125984"/>
  <pageSetup fitToHeight="0" fitToWidth="1" horizontalDpi="600" verticalDpi="600" orientation="landscape" paperSize="9" scale="62" r:id="rId1"/>
  <colBreaks count="1" manualBreakCount="1">
    <brk id="2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U1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23.75390625" style="308" customWidth="1"/>
    <col min="2" max="2" width="15.00390625" style="308" customWidth="1"/>
    <col min="3" max="3" width="15.625" style="308" hidden="1" customWidth="1"/>
    <col min="4" max="4" width="19.25390625" style="308" customWidth="1"/>
    <col min="5" max="5" width="15.625" style="308" customWidth="1"/>
    <col min="6" max="6" width="14.125" style="308" customWidth="1"/>
    <col min="7" max="7" width="17.125" style="308" customWidth="1"/>
    <col min="8" max="8" width="41.625" style="308" customWidth="1"/>
    <col min="9" max="9" width="11.875" style="308" customWidth="1"/>
    <col min="10" max="10" width="13.25390625" style="308" customWidth="1"/>
    <col min="11" max="11" width="13.625" style="308" customWidth="1"/>
    <col min="12" max="12" width="13.375" style="308" customWidth="1"/>
    <col min="13" max="14" width="8.875" style="308" customWidth="1"/>
    <col min="15" max="15" width="10.125" style="308" customWidth="1"/>
    <col min="16" max="16" width="1.25" style="308" customWidth="1"/>
    <col min="17" max="17" width="8.375" style="308" customWidth="1"/>
    <col min="18" max="18" width="8.125" style="308" customWidth="1"/>
    <col min="19" max="19" width="8.25390625" style="308" customWidth="1"/>
    <col min="20" max="16384" width="9.125" style="308" customWidth="1"/>
  </cols>
  <sheetData>
    <row r="1" spans="1:12" ht="18.75">
      <c r="A1" s="1433" t="s">
        <v>260</v>
      </c>
      <c r="B1" s="1433"/>
      <c r="C1" s="1433"/>
      <c r="D1" s="1433"/>
      <c r="E1" s="1433"/>
      <c r="F1" s="1433"/>
      <c r="G1" s="1433"/>
      <c r="H1" s="1433"/>
      <c r="I1" s="1433"/>
      <c r="J1" s="1433"/>
      <c r="K1" s="1433"/>
      <c r="L1" s="1433"/>
    </row>
    <row r="2" spans="1:18" ht="57" customHeight="1">
      <c r="A2" s="1434" t="s">
        <v>525</v>
      </c>
      <c r="B2" s="1434"/>
      <c r="C2" s="1434"/>
      <c r="D2" s="1434"/>
      <c r="E2" s="1434"/>
      <c r="F2" s="1434"/>
      <c r="G2" s="1434"/>
      <c r="H2" s="1434"/>
      <c r="I2" s="1434"/>
      <c r="J2" s="1434"/>
      <c r="K2" s="1434"/>
      <c r="L2" s="1434"/>
      <c r="M2" s="309"/>
      <c r="N2" s="309"/>
      <c r="O2" s="309"/>
      <c r="P2" s="310"/>
      <c r="Q2" s="310"/>
      <c r="R2" s="310"/>
    </row>
    <row r="3" spans="1:18" ht="14.25">
      <c r="A3" s="1435"/>
      <c r="B3" s="1435"/>
      <c r="C3" s="1435"/>
      <c r="D3" s="1435"/>
      <c r="E3" s="1435"/>
      <c r="F3" s="1435"/>
      <c r="G3" s="1435"/>
      <c r="H3" s="1435"/>
      <c r="I3" s="1435"/>
      <c r="J3" s="1435"/>
      <c r="K3" s="312"/>
      <c r="L3" s="312"/>
      <c r="M3" s="312"/>
      <c r="N3" s="312"/>
      <c r="O3" s="312"/>
      <c r="P3" s="310"/>
      <c r="Q3" s="310"/>
      <c r="R3" s="310"/>
    </row>
    <row r="4" spans="1:18" ht="15" thickBot="1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3" t="s">
        <v>261</v>
      </c>
      <c r="M4" s="311"/>
      <c r="N4" s="311"/>
      <c r="O4" s="311"/>
      <c r="P4" s="310"/>
      <c r="Q4" s="310"/>
      <c r="R4" s="310"/>
    </row>
    <row r="5" spans="1:255" ht="253.5" customHeight="1" thickBot="1">
      <c r="A5" s="314" t="s">
        <v>262</v>
      </c>
      <c r="B5" s="315" t="s">
        <v>263</v>
      </c>
      <c r="C5" s="316" t="s">
        <v>264</v>
      </c>
      <c r="D5" s="316" t="s">
        <v>265</v>
      </c>
      <c r="E5" s="316" t="s">
        <v>266</v>
      </c>
      <c r="F5" s="317" t="s">
        <v>267</v>
      </c>
      <c r="G5" s="318" t="s">
        <v>268</v>
      </c>
      <c r="H5" s="319" t="s">
        <v>269</v>
      </c>
      <c r="I5" s="320" t="s">
        <v>270</v>
      </c>
      <c r="J5" s="321" t="s">
        <v>271</v>
      </c>
      <c r="K5" s="321" t="s">
        <v>272</v>
      </c>
      <c r="L5" s="321" t="s">
        <v>273</v>
      </c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  <c r="BT5" s="322"/>
      <c r="BU5" s="322"/>
      <c r="BV5" s="322"/>
      <c r="BW5" s="322"/>
      <c r="BX5" s="322"/>
      <c r="BY5" s="322"/>
      <c r="BZ5" s="322"/>
      <c r="CA5" s="322"/>
      <c r="CB5" s="322"/>
      <c r="CC5" s="322"/>
      <c r="CD5" s="322"/>
      <c r="CE5" s="322"/>
      <c r="CF5" s="322"/>
      <c r="CG5" s="322"/>
      <c r="CH5" s="322"/>
      <c r="CI5" s="322"/>
      <c r="CJ5" s="322"/>
      <c r="CK5" s="322"/>
      <c r="CL5" s="322"/>
      <c r="CM5" s="322"/>
      <c r="CN5" s="322"/>
      <c r="CO5" s="322"/>
      <c r="CP5" s="322"/>
      <c r="CQ5" s="322"/>
      <c r="CR5" s="322"/>
      <c r="CS5" s="322"/>
      <c r="CT5" s="322"/>
      <c r="CU5" s="322"/>
      <c r="CV5" s="322"/>
      <c r="CW5" s="322"/>
      <c r="CX5" s="322"/>
      <c r="CY5" s="322"/>
      <c r="CZ5" s="322"/>
      <c r="DA5" s="322"/>
      <c r="DB5" s="322"/>
      <c r="DC5" s="322"/>
      <c r="DD5" s="322"/>
      <c r="DE5" s="322"/>
      <c r="DF5" s="322"/>
      <c r="DG5" s="322"/>
      <c r="DH5" s="322"/>
      <c r="DI5" s="322"/>
      <c r="DJ5" s="322"/>
      <c r="DK5" s="322"/>
      <c r="DL5" s="322"/>
      <c r="DM5" s="322"/>
      <c r="DN5" s="322"/>
      <c r="DO5" s="322"/>
      <c r="DP5" s="322"/>
      <c r="DQ5" s="322"/>
      <c r="DR5" s="322"/>
      <c r="DS5" s="322"/>
      <c r="DT5" s="322"/>
      <c r="DU5" s="322"/>
      <c r="DV5" s="322"/>
      <c r="DW5" s="322"/>
      <c r="DX5" s="322"/>
      <c r="DY5" s="322"/>
      <c r="DZ5" s="322"/>
      <c r="EA5" s="322"/>
      <c r="EB5" s="322"/>
      <c r="EC5" s="322"/>
      <c r="ED5" s="322"/>
      <c r="EE5" s="322"/>
      <c r="EF5" s="322"/>
      <c r="EG5" s="322"/>
      <c r="EH5" s="322"/>
      <c r="EI5" s="322"/>
      <c r="EJ5" s="322"/>
      <c r="EK5" s="322"/>
      <c r="EL5" s="322"/>
      <c r="EM5" s="322"/>
      <c r="EN5" s="322"/>
      <c r="EO5" s="322"/>
      <c r="EP5" s="322"/>
      <c r="EQ5" s="322"/>
      <c r="ER5" s="322"/>
      <c r="ES5" s="322"/>
      <c r="ET5" s="322"/>
      <c r="EU5" s="322"/>
      <c r="EV5" s="322"/>
      <c r="EW5" s="322"/>
      <c r="EX5" s="322"/>
      <c r="EY5" s="322"/>
      <c r="EZ5" s="322"/>
      <c r="FA5" s="322"/>
      <c r="FB5" s="322"/>
      <c r="FC5" s="322"/>
      <c r="FD5" s="322"/>
      <c r="FE5" s="322"/>
      <c r="FF5" s="322"/>
      <c r="FG5" s="322"/>
      <c r="FH5" s="322"/>
      <c r="FI5" s="322"/>
      <c r="FJ5" s="322"/>
      <c r="FK5" s="322"/>
      <c r="FL5" s="322"/>
      <c r="FM5" s="322"/>
      <c r="FN5" s="322"/>
      <c r="FO5" s="322"/>
      <c r="FP5" s="322"/>
      <c r="FQ5" s="322"/>
      <c r="FR5" s="322"/>
      <c r="FS5" s="322"/>
      <c r="FT5" s="322"/>
      <c r="FU5" s="322"/>
      <c r="FV5" s="322"/>
      <c r="FW5" s="322"/>
      <c r="FX5" s="322"/>
      <c r="FY5" s="322"/>
      <c r="FZ5" s="322"/>
      <c r="GA5" s="322"/>
      <c r="GB5" s="322"/>
      <c r="GC5" s="322"/>
      <c r="GD5" s="322"/>
      <c r="GE5" s="322"/>
      <c r="GF5" s="322"/>
      <c r="GG5" s="322"/>
      <c r="GH5" s="322"/>
      <c r="GI5" s="322"/>
      <c r="GJ5" s="322"/>
      <c r="GK5" s="322"/>
      <c r="GL5" s="322"/>
      <c r="GM5" s="322"/>
      <c r="GN5" s="322"/>
      <c r="GO5" s="322"/>
      <c r="GP5" s="322"/>
      <c r="GQ5" s="322"/>
      <c r="GR5" s="322"/>
      <c r="GS5" s="322"/>
      <c r="GT5" s="322"/>
      <c r="GU5" s="322"/>
      <c r="GV5" s="322"/>
      <c r="GW5" s="322"/>
      <c r="GX5" s="322"/>
      <c r="GY5" s="322"/>
      <c r="GZ5" s="322"/>
      <c r="HA5" s="322"/>
      <c r="HB5" s="322"/>
      <c r="HC5" s="322"/>
      <c r="HD5" s="322"/>
      <c r="HE5" s="322"/>
      <c r="HF5" s="322"/>
      <c r="HG5" s="322"/>
      <c r="HH5" s="322"/>
      <c r="HI5" s="322"/>
      <c r="HJ5" s="322"/>
      <c r="HK5" s="322"/>
      <c r="HL5" s="322"/>
      <c r="HM5" s="322"/>
      <c r="HN5" s="322"/>
      <c r="HO5" s="322"/>
      <c r="HP5" s="322"/>
      <c r="HQ5" s="322"/>
      <c r="HR5" s="322"/>
      <c r="HS5" s="322"/>
      <c r="HT5" s="322"/>
      <c r="HU5" s="322"/>
      <c r="HV5" s="322"/>
      <c r="HW5" s="322"/>
      <c r="HX5" s="322"/>
      <c r="HY5" s="322"/>
      <c r="HZ5" s="322"/>
      <c r="IA5" s="322"/>
      <c r="IB5" s="322"/>
      <c r="IC5" s="322"/>
      <c r="ID5" s="322"/>
      <c r="IE5" s="322"/>
      <c r="IF5" s="322"/>
      <c r="IG5" s="322"/>
      <c r="IH5" s="322"/>
      <c r="II5" s="322"/>
      <c r="IJ5" s="322"/>
      <c r="IK5" s="322"/>
      <c r="IL5" s="322"/>
      <c r="IM5" s="322"/>
      <c r="IN5" s="322"/>
      <c r="IO5" s="322"/>
      <c r="IP5" s="322"/>
      <c r="IQ5" s="322"/>
      <c r="IR5" s="322"/>
      <c r="IS5" s="322"/>
      <c r="IT5" s="322"/>
      <c r="IU5" s="322"/>
    </row>
    <row r="6" spans="1:12" ht="15.75" thickBot="1">
      <c r="A6" s="314">
        <v>1</v>
      </c>
      <c r="B6" s="315">
        <v>2</v>
      </c>
      <c r="C6" s="316"/>
      <c r="D6" s="316"/>
      <c r="E6" s="316"/>
      <c r="F6" s="317"/>
      <c r="G6" s="316"/>
      <c r="H6" s="316"/>
      <c r="I6" s="323"/>
      <c r="J6" s="324">
        <v>10</v>
      </c>
      <c r="K6" s="324">
        <v>10</v>
      </c>
      <c r="L6" s="324">
        <v>10</v>
      </c>
    </row>
    <row r="7" spans="1:12" ht="17.25" customHeight="1">
      <c r="A7" s="325" t="s">
        <v>180</v>
      </c>
      <c r="B7" s="326">
        <v>10641</v>
      </c>
      <c r="C7" s="327"/>
      <c r="D7" s="327">
        <v>25</v>
      </c>
      <c r="E7" s="327">
        <v>14</v>
      </c>
      <c r="F7" s="328">
        <v>1000</v>
      </c>
      <c r="G7" s="329">
        <v>2.5</v>
      </c>
      <c r="H7" s="330">
        <v>1.302</v>
      </c>
      <c r="I7" s="331">
        <v>12</v>
      </c>
      <c r="J7" s="332">
        <f>16087.4-12.8</f>
        <v>16074.6</v>
      </c>
      <c r="K7" s="332">
        <f>16179.2+4.9</f>
        <v>16184.1</v>
      </c>
      <c r="L7" s="332">
        <v>15184</v>
      </c>
    </row>
    <row r="8" spans="1:12" ht="36.75" customHeight="1">
      <c r="A8" s="705" t="s">
        <v>483</v>
      </c>
      <c r="B8" s="334">
        <v>521</v>
      </c>
      <c r="C8" s="335"/>
      <c r="D8" s="335">
        <v>25</v>
      </c>
      <c r="E8" s="335">
        <v>14</v>
      </c>
      <c r="F8" s="336">
        <v>1000</v>
      </c>
      <c r="G8" s="337">
        <v>2.5</v>
      </c>
      <c r="H8" s="338">
        <v>1.302</v>
      </c>
      <c r="I8" s="339">
        <v>12</v>
      </c>
      <c r="J8" s="340">
        <v>970.9</v>
      </c>
      <c r="K8" s="340">
        <v>976.7</v>
      </c>
      <c r="L8" s="340">
        <v>982</v>
      </c>
    </row>
    <row r="9" spans="1:12" ht="28.5" customHeight="1">
      <c r="A9" s="705" t="s">
        <v>501</v>
      </c>
      <c r="B9" s="334">
        <v>388</v>
      </c>
      <c r="C9" s="335"/>
      <c r="D9" s="335">
        <v>25</v>
      </c>
      <c r="E9" s="335">
        <v>14</v>
      </c>
      <c r="F9" s="336">
        <v>1000</v>
      </c>
      <c r="G9" s="337">
        <v>2.5</v>
      </c>
      <c r="H9" s="338">
        <v>1.302</v>
      </c>
      <c r="I9" s="339">
        <v>12</v>
      </c>
      <c r="J9" s="340">
        <v>560.8</v>
      </c>
      <c r="K9" s="340">
        <v>564.2</v>
      </c>
      <c r="L9" s="340">
        <v>620.8</v>
      </c>
    </row>
    <row r="10" spans="1:12" ht="17.25" customHeight="1">
      <c r="A10" s="325"/>
      <c r="B10" s="326"/>
      <c r="C10" s="327"/>
      <c r="D10" s="327"/>
      <c r="E10" s="327"/>
      <c r="F10" s="328"/>
      <c r="G10" s="329"/>
      <c r="H10" s="330"/>
      <c r="I10" s="331"/>
      <c r="J10" s="332"/>
      <c r="K10" s="332"/>
      <c r="L10" s="332"/>
    </row>
    <row r="11" spans="1:12" ht="17.25" customHeight="1">
      <c r="A11" s="333" t="s">
        <v>0</v>
      </c>
      <c r="B11" s="334">
        <f>765+69+97+184+24+5+32+5+12</f>
        <v>1193</v>
      </c>
      <c r="C11" s="335"/>
      <c r="D11" s="335">
        <v>25</v>
      </c>
      <c r="E11" s="335">
        <v>14</v>
      </c>
      <c r="F11" s="336">
        <v>1000</v>
      </c>
      <c r="G11" s="337">
        <v>2.5</v>
      </c>
      <c r="H11" s="338">
        <v>1.302</v>
      </c>
      <c r="I11" s="339">
        <v>12</v>
      </c>
      <c r="J11" s="340">
        <v>2310</v>
      </c>
      <c r="K11" s="340">
        <v>2323.9</v>
      </c>
      <c r="L11" s="340">
        <v>2310</v>
      </c>
    </row>
    <row r="12" spans="1:12" ht="17.25" customHeight="1">
      <c r="A12" s="333" t="s">
        <v>1</v>
      </c>
      <c r="B12" s="334">
        <v>456</v>
      </c>
      <c r="C12" s="335"/>
      <c r="D12" s="335">
        <v>25</v>
      </c>
      <c r="E12" s="335">
        <v>14</v>
      </c>
      <c r="F12" s="336">
        <v>1000</v>
      </c>
      <c r="G12" s="337">
        <v>2.7</v>
      </c>
      <c r="H12" s="338">
        <v>1.302</v>
      </c>
      <c r="I12" s="339">
        <v>12</v>
      </c>
      <c r="J12" s="340">
        <v>665.4</v>
      </c>
      <c r="K12" s="340">
        <v>669.4</v>
      </c>
      <c r="L12" s="340">
        <v>846</v>
      </c>
    </row>
    <row r="13" spans="1:12" ht="17.25" customHeight="1">
      <c r="A13" s="333" t="s">
        <v>36</v>
      </c>
      <c r="B13" s="334">
        <v>933</v>
      </c>
      <c r="C13" s="335"/>
      <c r="D13" s="335">
        <v>25</v>
      </c>
      <c r="E13" s="335">
        <v>14</v>
      </c>
      <c r="F13" s="336">
        <v>1000</v>
      </c>
      <c r="G13" s="337">
        <v>2.5</v>
      </c>
      <c r="H13" s="338">
        <v>1.302</v>
      </c>
      <c r="I13" s="339">
        <v>12</v>
      </c>
      <c r="J13" s="340">
        <v>1196.8</v>
      </c>
      <c r="K13" s="340">
        <v>1204</v>
      </c>
      <c r="L13" s="340">
        <v>1196.8</v>
      </c>
    </row>
    <row r="14" spans="1:12" ht="17.25" customHeight="1">
      <c r="A14" s="333" t="s">
        <v>31</v>
      </c>
      <c r="B14" s="334">
        <v>725</v>
      </c>
      <c r="C14" s="335"/>
      <c r="D14" s="335">
        <v>25</v>
      </c>
      <c r="E14" s="335">
        <v>14</v>
      </c>
      <c r="F14" s="336">
        <v>1000</v>
      </c>
      <c r="G14" s="337">
        <v>2.5</v>
      </c>
      <c r="H14" s="338">
        <v>1.302</v>
      </c>
      <c r="I14" s="339">
        <v>12</v>
      </c>
      <c r="J14" s="340">
        <v>950.4</v>
      </c>
      <c r="K14" s="340">
        <v>956</v>
      </c>
      <c r="L14" s="340">
        <v>1230</v>
      </c>
    </row>
    <row r="15" spans="1:12" ht="17.25" customHeight="1">
      <c r="A15" s="333" t="s">
        <v>32</v>
      </c>
      <c r="B15" s="334">
        <v>861</v>
      </c>
      <c r="C15" s="335"/>
      <c r="D15" s="335">
        <v>25</v>
      </c>
      <c r="E15" s="335">
        <v>14</v>
      </c>
      <c r="F15" s="336">
        <v>1000</v>
      </c>
      <c r="G15" s="337">
        <v>2.5</v>
      </c>
      <c r="H15" s="338">
        <v>1.302</v>
      </c>
      <c r="I15" s="339">
        <v>12</v>
      </c>
      <c r="J15" s="340">
        <v>1328.4</v>
      </c>
      <c r="K15" s="340">
        <v>1336.4</v>
      </c>
      <c r="L15" s="340">
        <v>1276</v>
      </c>
    </row>
    <row r="16" spans="1:12" ht="17.25" customHeight="1" thickBot="1">
      <c r="A16" s="341" t="s">
        <v>33</v>
      </c>
      <c r="B16" s="342">
        <v>1272</v>
      </c>
      <c r="C16" s="343"/>
      <c r="D16" s="343">
        <v>25</v>
      </c>
      <c r="E16" s="343">
        <v>14</v>
      </c>
      <c r="F16" s="344">
        <v>1000</v>
      </c>
      <c r="G16" s="345">
        <v>2.5</v>
      </c>
      <c r="H16" s="338">
        <v>1.302</v>
      </c>
      <c r="I16" s="346">
        <v>12</v>
      </c>
      <c r="J16" s="347">
        <v>1600</v>
      </c>
      <c r="K16" s="347">
        <v>1609.6</v>
      </c>
      <c r="L16" s="347">
        <v>1844.7</v>
      </c>
    </row>
    <row r="17" spans="1:12" ht="17.25" customHeight="1" thickBot="1">
      <c r="A17" s="348" t="s">
        <v>181</v>
      </c>
      <c r="B17" s="349">
        <f>SUM(B7:B16)</f>
        <v>16990</v>
      </c>
      <c r="C17" s="350">
        <f>SUM(C7:C16)</f>
        <v>0</v>
      </c>
      <c r="D17" s="351"/>
      <c r="E17" s="351"/>
      <c r="F17" s="350"/>
      <c r="G17" s="351"/>
      <c r="H17" s="351"/>
      <c r="I17" s="352"/>
      <c r="J17" s="353">
        <f>SUM(J7:J16)</f>
        <v>25657.300000000003</v>
      </c>
      <c r="K17" s="353">
        <f>SUM(K7:K16)</f>
        <v>25824.300000000003</v>
      </c>
      <c r="L17" s="353">
        <f>SUM(L7:L16)</f>
        <v>25490.3</v>
      </c>
    </row>
    <row r="19" spans="1:7" ht="15">
      <c r="A19" s="354"/>
      <c r="B19" s="354"/>
      <c r="C19" s="354"/>
      <c r="D19" s="354"/>
      <c r="E19" s="354"/>
      <c r="F19" s="354"/>
      <c r="G19" s="355"/>
    </row>
  </sheetData>
  <sheetProtection/>
  <mergeCells count="3">
    <mergeCell ref="A1:L1"/>
    <mergeCell ref="A2:L2"/>
    <mergeCell ref="A3:J3"/>
  </mergeCells>
  <printOptions/>
  <pageMargins left="0.15748031496062992" right="0.16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30.875" style="235" customWidth="1"/>
    <col min="2" max="2" width="9.125" style="235" hidden="1" customWidth="1"/>
    <col min="3" max="3" width="16.25390625" style="235" customWidth="1"/>
    <col min="4" max="4" width="11.625" style="235" customWidth="1"/>
    <col min="5" max="5" width="21.00390625" style="235" customWidth="1"/>
    <col min="6" max="6" width="47.00390625" style="235" customWidth="1"/>
    <col min="7" max="7" width="12.00390625" style="235" customWidth="1"/>
    <col min="8" max="8" width="15.75390625" style="235" customWidth="1"/>
    <col min="9" max="9" width="15.25390625" style="235" customWidth="1"/>
    <col min="10" max="10" width="15.375" style="235" customWidth="1"/>
    <col min="11" max="11" width="9.125" style="235" customWidth="1"/>
    <col min="12" max="12" width="10.375" style="235" customWidth="1"/>
    <col min="13" max="13" width="10.125" style="235" customWidth="1"/>
    <col min="14" max="14" width="11.25390625" style="235" customWidth="1"/>
    <col min="15" max="15" width="11.00390625" style="235" hidden="1" customWidth="1"/>
    <col min="16" max="16" width="12.375" style="235" hidden="1" customWidth="1"/>
    <col min="17" max="17" width="11.25390625" style="235" hidden="1" customWidth="1"/>
    <col min="18" max="18" width="11.00390625" style="235" hidden="1" customWidth="1"/>
    <col min="19" max="19" width="12.25390625" style="235" hidden="1" customWidth="1"/>
    <col min="20" max="20" width="14.375" style="235" hidden="1" customWidth="1"/>
    <col min="21" max="21" width="11.00390625" style="235" hidden="1" customWidth="1"/>
    <col min="22" max="22" width="12.25390625" style="235" hidden="1" customWidth="1"/>
    <col min="23" max="16384" width="9.125" style="235" customWidth="1"/>
  </cols>
  <sheetData>
    <row r="1" spans="1:10" ht="18.75">
      <c r="A1" s="1433" t="s">
        <v>463</v>
      </c>
      <c r="B1" s="1433"/>
      <c r="C1" s="1433"/>
      <c r="D1" s="1433"/>
      <c r="E1" s="1433"/>
      <c r="F1" s="1433"/>
      <c r="G1" s="1433"/>
      <c r="H1" s="1433"/>
      <c r="I1" s="1433"/>
      <c r="J1" s="1433"/>
    </row>
    <row r="2" spans="1:20" ht="77.25" customHeight="1">
      <c r="A2" s="1436" t="s">
        <v>524</v>
      </c>
      <c r="B2" s="1436"/>
      <c r="C2" s="1436"/>
      <c r="D2" s="1436"/>
      <c r="E2" s="1436"/>
      <c r="F2" s="1436"/>
      <c r="G2" s="1436"/>
      <c r="H2" s="1436"/>
      <c r="I2" s="1436"/>
      <c r="J2" s="1436"/>
      <c r="K2" s="356"/>
      <c r="L2" s="356"/>
      <c r="M2" s="356"/>
      <c r="N2" s="356"/>
      <c r="O2" s="356"/>
      <c r="P2" s="356"/>
      <c r="Q2" s="356"/>
      <c r="R2" s="356"/>
      <c r="S2" s="356"/>
      <c r="T2" s="356"/>
    </row>
    <row r="3" spans="1:20" ht="12.75">
      <c r="A3" s="1437"/>
      <c r="B3" s="1437"/>
      <c r="C3" s="1437"/>
      <c r="D3" s="1437"/>
      <c r="E3" s="1437"/>
      <c r="F3" s="1437"/>
      <c r="G3" s="1437"/>
      <c r="H3" s="143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</row>
    <row r="4" spans="1:20" ht="16.5" thickBot="1">
      <c r="A4" s="356"/>
      <c r="B4" s="356"/>
      <c r="C4" s="356"/>
      <c r="D4" s="356"/>
      <c r="E4" s="356"/>
      <c r="F4" s="356"/>
      <c r="G4" s="356"/>
      <c r="H4" s="358"/>
      <c r="I4" s="356"/>
      <c r="J4" s="1010" t="s">
        <v>261</v>
      </c>
      <c r="K4" s="356"/>
      <c r="L4" s="356"/>
      <c r="M4" s="356"/>
      <c r="N4" s="356"/>
      <c r="O4" s="356"/>
      <c r="P4" s="356"/>
      <c r="Q4" s="356"/>
      <c r="R4" s="356"/>
      <c r="S4" s="356"/>
      <c r="T4" s="356"/>
    </row>
    <row r="5" spans="1:10" ht="166.5" thickBot="1">
      <c r="A5" s="359" t="s">
        <v>29</v>
      </c>
      <c r="B5" s="360" t="s">
        <v>275</v>
      </c>
      <c r="C5" s="361" t="s">
        <v>276</v>
      </c>
      <c r="D5" s="362" t="s">
        <v>277</v>
      </c>
      <c r="E5" s="363" t="s">
        <v>268</v>
      </c>
      <c r="F5" s="364" t="s">
        <v>278</v>
      </c>
      <c r="G5" s="365" t="s">
        <v>279</v>
      </c>
      <c r="H5" s="711" t="s">
        <v>280</v>
      </c>
      <c r="I5" s="711" t="s">
        <v>281</v>
      </c>
      <c r="J5" s="711" t="s">
        <v>282</v>
      </c>
    </row>
    <row r="6" spans="1:10" ht="13.5" thickBot="1">
      <c r="A6" s="366">
        <v>1</v>
      </c>
      <c r="B6" s="367">
        <v>2</v>
      </c>
      <c r="C6" s="367">
        <v>2</v>
      </c>
      <c r="D6" s="368">
        <v>3</v>
      </c>
      <c r="E6" s="369">
        <v>4</v>
      </c>
      <c r="F6" s="369">
        <v>5</v>
      </c>
      <c r="G6" s="370">
        <v>6</v>
      </c>
      <c r="H6" s="1034">
        <v>7</v>
      </c>
      <c r="I6" s="1034">
        <v>8</v>
      </c>
      <c r="J6" s="1034">
        <v>8</v>
      </c>
    </row>
    <row r="7" spans="1:11" s="374" customFormat="1" ht="15.75">
      <c r="A7" s="1011" t="s">
        <v>35</v>
      </c>
      <c r="B7" s="1012">
        <v>3063.4</v>
      </c>
      <c r="C7" s="1013">
        <v>110</v>
      </c>
      <c r="D7" s="1014">
        <v>1.047</v>
      </c>
      <c r="E7" s="843">
        <v>2.5</v>
      </c>
      <c r="F7" s="1015">
        <v>1.302</v>
      </c>
      <c r="G7" s="1016">
        <v>12</v>
      </c>
      <c r="H7" s="808">
        <v>4500.9</v>
      </c>
      <c r="I7" s="808">
        <v>4500.9</v>
      </c>
      <c r="J7" s="808">
        <v>4500.9</v>
      </c>
      <c r="K7" s="1017"/>
    </row>
    <row r="8" spans="1:11" s="374" customFormat="1" ht="31.5">
      <c r="A8" s="906" t="s">
        <v>483</v>
      </c>
      <c r="B8" s="1012"/>
      <c r="C8" s="1018">
        <v>140</v>
      </c>
      <c r="D8" s="1019">
        <v>1.047</v>
      </c>
      <c r="E8" s="851">
        <v>2.5</v>
      </c>
      <c r="F8" s="1015">
        <v>1.302</v>
      </c>
      <c r="G8" s="1016">
        <v>12</v>
      </c>
      <c r="H8" s="808">
        <f>ROUND(C8*D8*E8*F8*G8,1)-4.6</f>
        <v>5720.799999999999</v>
      </c>
      <c r="I8" s="808">
        <v>5720.8</v>
      </c>
      <c r="J8" s="808">
        <v>5720.8</v>
      </c>
      <c r="K8" s="1017"/>
    </row>
    <row r="9" spans="1:11" s="374" customFormat="1" ht="31.5">
      <c r="A9" s="906" t="s">
        <v>478</v>
      </c>
      <c r="B9" s="1012"/>
      <c r="C9" s="1018">
        <v>84</v>
      </c>
      <c r="D9" s="1019">
        <v>1.047</v>
      </c>
      <c r="E9" s="851">
        <v>2.5</v>
      </c>
      <c r="F9" s="1015">
        <v>1.302</v>
      </c>
      <c r="G9" s="1016">
        <v>12</v>
      </c>
      <c r="H9" s="808">
        <f>ROUND(C9*D9*E9*F9*G9,1)+3</f>
        <v>3438.2</v>
      </c>
      <c r="I9" s="808">
        <v>3438.2</v>
      </c>
      <c r="J9" s="808">
        <v>3438.2</v>
      </c>
      <c r="K9" s="1017"/>
    </row>
    <row r="10" spans="1:11" s="374" customFormat="1" ht="15.75">
      <c r="A10" s="1011"/>
      <c r="B10" s="1012"/>
      <c r="C10" s="1013"/>
      <c r="D10" s="1014"/>
      <c r="E10" s="843"/>
      <c r="F10" s="1015"/>
      <c r="G10" s="1016"/>
      <c r="H10" s="808"/>
      <c r="I10" s="808"/>
      <c r="J10" s="808"/>
      <c r="K10" s="1017"/>
    </row>
    <row r="11" spans="1:11" s="374" customFormat="1" ht="15.75">
      <c r="A11" s="1020" t="s">
        <v>0</v>
      </c>
      <c r="B11" s="1021">
        <v>293.9</v>
      </c>
      <c r="C11" s="1018">
        <v>200</v>
      </c>
      <c r="D11" s="1019">
        <v>1.047</v>
      </c>
      <c r="E11" s="851">
        <v>2.5</v>
      </c>
      <c r="F11" s="1015">
        <v>1.302</v>
      </c>
      <c r="G11" s="1016">
        <v>12</v>
      </c>
      <c r="H11" s="808">
        <f>ROUND(C11*D11*E11*F11*G11,1)+12.4</f>
        <v>8191.599999999999</v>
      </c>
      <c r="I11" s="808">
        <v>8191.6</v>
      </c>
      <c r="J11" s="808">
        <v>8191.6</v>
      </c>
      <c r="K11" s="1017"/>
    </row>
    <row r="12" spans="1:11" s="374" customFormat="1" ht="15.75">
      <c r="A12" s="1020" t="s">
        <v>1</v>
      </c>
      <c r="B12" s="1022">
        <v>108.6</v>
      </c>
      <c r="C12" s="1023">
        <v>88</v>
      </c>
      <c r="D12" s="1014">
        <v>1.047</v>
      </c>
      <c r="E12" s="851">
        <v>2.7</v>
      </c>
      <c r="F12" s="1015">
        <v>1.302</v>
      </c>
      <c r="G12" s="1016">
        <v>12</v>
      </c>
      <c r="H12" s="808">
        <f>ROUND(C12*D12*E12*F12*G12,1)-7.6</f>
        <v>3879.1</v>
      </c>
      <c r="I12" s="808">
        <v>3879.1</v>
      </c>
      <c r="J12" s="808">
        <v>3879.1</v>
      </c>
      <c r="K12" s="1017"/>
    </row>
    <row r="13" spans="1:11" s="374" customFormat="1" ht="15.75">
      <c r="A13" s="1020" t="s">
        <v>36</v>
      </c>
      <c r="B13" s="1021">
        <v>178.1</v>
      </c>
      <c r="C13" s="1018">
        <f>140-10</f>
        <v>130</v>
      </c>
      <c r="D13" s="1019">
        <v>1.047</v>
      </c>
      <c r="E13" s="851">
        <v>2.5</v>
      </c>
      <c r="F13" s="1015">
        <v>1.302</v>
      </c>
      <c r="G13" s="1016">
        <v>12</v>
      </c>
      <c r="H13" s="808">
        <f>ROUND(C13*D13*E13*F13*G13,1)+16.8</f>
        <v>5333.3</v>
      </c>
      <c r="I13" s="808">
        <v>5333.3</v>
      </c>
      <c r="J13" s="808">
        <v>5333.3</v>
      </c>
      <c r="K13" s="1017"/>
    </row>
    <row r="14" spans="1:11" s="374" customFormat="1" ht="15.75">
      <c r="A14" s="1020" t="s">
        <v>31</v>
      </c>
      <c r="B14" s="1021">
        <v>210.5</v>
      </c>
      <c r="C14" s="1018">
        <v>114</v>
      </c>
      <c r="D14" s="1014">
        <v>1.047</v>
      </c>
      <c r="E14" s="851">
        <v>2.5</v>
      </c>
      <c r="F14" s="1015">
        <v>1.302</v>
      </c>
      <c r="G14" s="1016">
        <v>12</v>
      </c>
      <c r="H14" s="808">
        <f>ROUND(C14*D14*E14*F14*G14,1)+5.3</f>
        <v>4667.400000000001</v>
      </c>
      <c r="I14" s="808">
        <v>4667.4</v>
      </c>
      <c r="J14" s="808">
        <v>4667.4</v>
      </c>
      <c r="K14" s="1017"/>
    </row>
    <row r="15" spans="1:11" s="374" customFormat="1" ht="15.75">
      <c r="A15" s="1020" t="s">
        <v>32</v>
      </c>
      <c r="B15" s="1021">
        <v>268.4</v>
      </c>
      <c r="C15" s="1018">
        <v>145</v>
      </c>
      <c r="D15" s="1019">
        <v>1.047</v>
      </c>
      <c r="E15" s="851">
        <v>2.5</v>
      </c>
      <c r="F15" s="1015">
        <v>1.302</v>
      </c>
      <c r="G15" s="1016">
        <v>12</v>
      </c>
      <c r="H15" s="808">
        <f>ROUND(C15*D15*E15*F15*G15,1)+3.7</f>
        <v>5933.599999999999</v>
      </c>
      <c r="I15" s="808">
        <v>5933.6</v>
      </c>
      <c r="J15" s="808">
        <v>5933.6</v>
      </c>
      <c r="K15" s="1017"/>
    </row>
    <row r="16" spans="1:11" s="374" customFormat="1" ht="16.5" thickBot="1">
      <c r="A16" s="1024" t="s">
        <v>33</v>
      </c>
      <c r="B16" s="1025">
        <v>297.9</v>
      </c>
      <c r="C16" s="1026">
        <v>158</v>
      </c>
      <c r="D16" s="1019">
        <v>1.047</v>
      </c>
      <c r="E16" s="877">
        <v>2.5</v>
      </c>
      <c r="F16" s="1015">
        <v>1.302</v>
      </c>
      <c r="G16" s="1016">
        <v>12</v>
      </c>
      <c r="H16" s="808">
        <f>ROUND(C16*D16*E16*F16*G16,1)-13.7</f>
        <v>6447.8</v>
      </c>
      <c r="I16" s="808">
        <v>6447.8</v>
      </c>
      <c r="J16" s="808">
        <v>6447.8</v>
      </c>
      <c r="K16" s="1017"/>
    </row>
    <row r="17" spans="1:11" s="374" customFormat="1" ht="21.75" customHeight="1" thickBot="1">
      <c r="A17" s="1027" t="s">
        <v>37</v>
      </c>
      <c r="B17" s="1028">
        <f>SUM(B7:B16)</f>
        <v>4420.799999999999</v>
      </c>
      <c r="C17" s="1029">
        <f>SUM(C7:C16)</f>
        <v>1169</v>
      </c>
      <c r="D17" s="1030"/>
      <c r="E17" s="1031"/>
      <c r="F17" s="1031"/>
      <c r="G17" s="1032"/>
      <c r="H17" s="918">
        <f>SUM(H7:H16)</f>
        <v>48112.7</v>
      </c>
      <c r="I17" s="918">
        <f>SUM(I7:I16)</f>
        <v>48112.7</v>
      </c>
      <c r="J17" s="918">
        <f>SUM(J7:J16)</f>
        <v>48112.7</v>
      </c>
      <c r="K17" s="1017"/>
    </row>
    <row r="18" spans="9:11" s="374" customFormat="1" ht="15.75">
      <c r="I18" s="1033"/>
      <c r="K18" s="1017"/>
    </row>
    <row r="21" ht="12.75">
      <c r="F21" s="373"/>
    </row>
  </sheetData>
  <sheetProtection/>
  <mergeCells count="3">
    <mergeCell ref="A2:J2"/>
    <mergeCell ref="A1:J1"/>
    <mergeCell ref="A3:H3"/>
  </mergeCells>
  <printOptions/>
  <pageMargins left="0.1968503937007874" right="0.2362204724409449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0"/>
  <sheetViews>
    <sheetView zoomScalePageLayoutView="0" workbookViewId="0" topLeftCell="A1">
      <selection activeCell="T31" sqref="T31:U31"/>
    </sheetView>
  </sheetViews>
  <sheetFormatPr defaultColWidth="9.00390625" defaultRowHeight="12.75"/>
  <cols>
    <col min="1" max="1" width="19.25390625" style="235" customWidth="1"/>
    <col min="2" max="2" width="19.25390625" style="235" hidden="1" customWidth="1"/>
    <col min="3" max="3" width="9.125" style="235" customWidth="1"/>
    <col min="4" max="4" width="7.625" style="235" customWidth="1"/>
    <col min="5" max="5" width="6.125" style="235" customWidth="1"/>
    <col min="6" max="6" width="7.125" style="235" customWidth="1"/>
    <col min="7" max="7" width="9.25390625" style="235" hidden="1" customWidth="1"/>
    <col min="8" max="8" width="9.875" style="235" hidden="1" customWidth="1"/>
    <col min="9" max="9" width="12.125" style="235" customWidth="1"/>
    <col min="10" max="10" width="11.625" style="235" customWidth="1"/>
    <col min="11" max="11" width="6.375" style="235" customWidth="1"/>
    <col min="12" max="12" width="6.625" style="235" customWidth="1"/>
    <col min="13" max="13" width="10.25390625" style="235" customWidth="1"/>
    <col min="14" max="15" width="9.125" style="235" hidden="1" customWidth="1"/>
    <col min="16" max="16" width="10.625" style="235" customWidth="1"/>
    <col min="17" max="17" width="6.25390625" style="235" customWidth="1"/>
    <col min="18" max="18" width="5.875" style="235" customWidth="1"/>
    <col min="19" max="19" width="6.375" style="235" hidden="1" customWidth="1"/>
    <col min="20" max="20" width="7.625" style="235" customWidth="1"/>
    <col min="21" max="21" width="8.75390625" style="235" customWidth="1"/>
    <col min="22" max="22" width="8.375" style="235" customWidth="1"/>
    <col min="23" max="23" width="10.625" style="235" hidden="1" customWidth="1"/>
    <col min="24" max="25" width="11.75390625" style="235" hidden="1" customWidth="1"/>
    <col min="26" max="26" width="10.875" style="235" customWidth="1"/>
    <col min="27" max="27" width="13.375" style="235" hidden="1" customWidth="1"/>
    <col min="28" max="28" width="12.625" style="235" hidden="1" customWidth="1"/>
    <col min="29" max="31" width="11.375" style="235" customWidth="1"/>
    <col min="32" max="16384" width="9.125" style="235" customWidth="1"/>
  </cols>
  <sheetData>
    <row r="1" spans="1:255" ht="18.75">
      <c r="A1" s="1433" t="s">
        <v>274</v>
      </c>
      <c r="B1" s="1433"/>
      <c r="C1" s="1433"/>
      <c r="D1" s="1433"/>
      <c r="E1" s="1433"/>
      <c r="F1" s="1433"/>
      <c r="G1" s="1433"/>
      <c r="H1" s="1433"/>
      <c r="I1" s="1433"/>
      <c r="J1" s="1433"/>
      <c r="K1" s="1433"/>
      <c r="L1" s="1433"/>
      <c r="M1" s="1433"/>
      <c r="N1" s="1433"/>
      <c r="O1" s="1433"/>
      <c r="P1" s="1433"/>
      <c r="Q1" s="1433"/>
      <c r="R1" s="1433"/>
      <c r="S1" s="1433"/>
      <c r="T1" s="1433"/>
      <c r="U1" s="1433"/>
      <c r="V1" s="1433"/>
      <c r="W1" s="1433"/>
      <c r="X1" s="1433"/>
      <c r="Y1" s="1433"/>
      <c r="Z1" s="1433"/>
      <c r="AA1" s="1433"/>
      <c r="AB1" s="1433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4"/>
      <c r="BQ1" s="374"/>
      <c r="BR1" s="374"/>
      <c r="BS1" s="374"/>
      <c r="BT1" s="374"/>
      <c r="BU1" s="374"/>
      <c r="BV1" s="374"/>
      <c r="BW1" s="374"/>
      <c r="BX1" s="374"/>
      <c r="BY1" s="374"/>
      <c r="BZ1" s="374"/>
      <c r="CA1" s="374"/>
      <c r="CB1" s="374"/>
      <c r="CC1" s="374"/>
      <c r="CD1" s="374"/>
      <c r="CE1" s="374"/>
      <c r="CF1" s="374"/>
      <c r="CG1" s="374"/>
      <c r="CH1" s="374"/>
      <c r="CI1" s="374"/>
      <c r="CJ1" s="374"/>
      <c r="CK1" s="374"/>
      <c r="CL1" s="374"/>
      <c r="CM1" s="374"/>
      <c r="CN1" s="374"/>
      <c r="CO1" s="374"/>
      <c r="CP1" s="374"/>
      <c r="CQ1" s="374"/>
      <c r="CR1" s="374"/>
      <c r="CS1" s="374"/>
      <c r="CT1" s="374"/>
      <c r="CU1" s="374"/>
      <c r="CV1" s="374"/>
      <c r="CW1" s="374"/>
      <c r="CX1" s="374"/>
      <c r="CY1" s="374"/>
      <c r="CZ1" s="374"/>
      <c r="DA1" s="374"/>
      <c r="DB1" s="374"/>
      <c r="DC1" s="374"/>
      <c r="DD1" s="374"/>
      <c r="DE1" s="374"/>
      <c r="DF1" s="374"/>
      <c r="DG1" s="374"/>
      <c r="DH1" s="374"/>
      <c r="DI1" s="374"/>
      <c r="DJ1" s="374"/>
      <c r="DK1" s="374"/>
      <c r="DL1" s="374"/>
      <c r="DM1" s="374"/>
      <c r="DN1" s="374"/>
      <c r="DO1" s="374"/>
      <c r="DP1" s="374"/>
      <c r="DQ1" s="374"/>
      <c r="DR1" s="374"/>
      <c r="DS1" s="374"/>
      <c r="DT1" s="374"/>
      <c r="DU1" s="374"/>
      <c r="DV1" s="374"/>
      <c r="DW1" s="374"/>
      <c r="DX1" s="374"/>
      <c r="DY1" s="374"/>
      <c r="DZ1" s="374"/>
      <c r="EA1" s="374"/>
      <c r="EB1" s="374"/>
      <c r="EC1" s="374"/>
      <c r="ED1" s="374"/>
      <c r="EE1" s="374"/>
      <c r="EF1" s="374"/>
      <c r="EG1" s="374"/>
      <c r="EH1" s="374"/>
      <c r="EI1" s="374"/>
      <c r="EJ1" s="374"/>
      <c r="EK1" s="374"/>
      <c r="EL1" s="374"/>
      <c r="EM1" s="374"/>
      <c r="EN1" s="374"/>
      <c r="EO1" s="374"/>
      <c r="EP1" s="374"/>
      <c r="EQ1" s="374"/>
      <c r="ER1" s="374"/>
      <c r="ES1" s="374"/>
      <c r="ET1" s="374"/>
      <c r="EU1" s="374"/>
      <c r="EV1" s="374"/>
      <c r="EW1" s="374"/>
      <c r="EX1" s="374"/>
      <c r="EY1" s="374"/>
      <c r="EZ1" s="374"/>
      <c r="FA1" s="374"/>
      <c r="FB1" s="374"/>
      <c r="FC1" s="374"/>
      <c r="FD1" s="374"/>
      <c r="FE1" s="374"/>
      <c r="FF1" s="374"/>
      <c r="FG1" s="374"/>
      <c r="FH1" s="374"/>
      <c r="FI1" s="374"/>
      <c r="FJ1" s="374"/>
      <c r="FK1" s="374"/>
      <c r="FL1" s="374"/>
      <c r="FM1" s="374"/>
      <c r="FN1" s="374"/>
      <c r="FO1" s="374"/>
      <c r="FP1" s="374"/>
      <c r="FQ1" s="374"/>
      <c r="FR1" s="374"/>
      <c r="FS1" s="374"/>
      <c r="FT1" s="374"/>
      <c r="FU1" s="374"/>
      <c r="FV1" s="374"/>
      <c r="FW1" s="374"/>
      <c r="FX1" s="374"/>
      <c r="FY1" s="374"/>
      <c r="FZ1" s="374"/>
      <c r="GA1" s="374"/>
      <c r="GB1" s="374"/>
      <c r="GC1" s="374"/>
      <c r="GD1" s="374"/>
      <c r="GE1" s="374"/>
      <c r="GF1" s="374"/>
      <c r="GG1" s="374"/>
      <c r="GH1" s="374"/>
      <c r="GI1" s="374"/>
      <c r="GJ1" s="374"/>
      <c r="GK1" s="374"/>
      <c r="GL1" s="374"/>
      <c r="GM1" s="374"/>
      <c r="GN1" s="374"/>
      <c r="GO1" s="374"/>
      <c r="GP1" s="374"/>
      <c r="GQ1" s="374"/>
      <c r="GR1" s="374"/>
      <c r="GS1" s="374"/>
      <c r="GT1" s="374"/>
      <c r="GU1" s="374"/>
      <c r="GV1" s="374"/>
      <c r="GW1" s="374"/>
      <c r="GX1" s="374"/>
      <c r="GY1" s="374"/>
      <c r="GZ1" s="374"/>
      <c r="HA1" s="374"/>
      <c r="HB1" s="374"/>
      <c r="HC1" s="374"/>
      <c r="HD1" s="374"/>
      <c r="HE1" s="374"/>
      <c r="HF1" s="374"/>
      <c r="HG1" s="374"/>
      <c r="HH1" s="374"/>
      <c r="HI1" s="374"/>
      <c r="HJ1" s="374"/>
      <c r="HK1" s="374"/>
      <c r="HL1" s="374"/>
      <c r="HM1" s="374"/>
      <c r="HN1" s="374"/>
      <c r="HO1" s="374"/>
      <c r="HP1" s="374"/>
      <c r="HQ1" s="374"/>
      <c r="HR1" s="374"/>
      <c r="HS1" s="374"/>
      <c r="HT1" s="374"/>
      <c r="HU1" s="374"/>
      <c r="HV1" s="374"/>
      <c r="HW1" s="374"/>
      <c r="HX1" s="374"/>
      <c r="HY1" s="374"/>
      <c r="HZ1" s="374"/>
      <c r="IA1" s="374"/>
      <c r="IB1" s="374"/>
      <c r="IC1" s="374"/>
      <c r="ID1" s="374"/>
      <c r="IE1" s="374"/>
      <c r="IF1" s="374"/>
      <c r="IG1" s="374"/>
      <c r="IH1" s="374"/>
      <c r="II1" s="374"/>
      <c r="IJ1" s="374"/>
      <c r="IK1" s="374"/>
      <c r="IL1" s="374"/>
      <c r="IM1" s="374"/>
      <c r="IN1" s="374"/>
      <c r="IO1" s="374"/>
      <c r="IP1" s="374"/>
      <c r="IQ1" s="374"/>
      <c r="IR1" s="374"/>
      <c r="IS1" s="374"/>
      <c r="IT1" s="374"/>
      <c r="IU1" s="374"/>
    </row>
    <row r="2" spans="1:255" ht="20.25" customHeight="1">
      <c r="A2" s="1445" t="s">
        <v>507</v>
      </c>
      <c r="B2" s="1445"/>
      <c r="C2" s="1445"/>
      <c r="D2" s="1445"/>
      <c r="E2" s="1445"/>
      <c r="F2" s="1445"/>
      <c r="G2" s="1445"/>
      <c r="H2" s="1445"/>
      <c r="I2" s="1445"/>
      <c r="J2" s="1445"/>
      <c r="K2" s="1445"/>
      <c r="L2" s="1445"/>
      <c r="M2" s="1445"/>
      <c r="N2" s="1445"/>
      <c r="O2" s="1445"/>
      <c r="P2" s="1445"/>
      <c r="Q2" s="1445"/>
      <c r="R2" s="1445"/>
      <c r="S2" s="1445"/>
      <c r="T2" s="1445"/>
      <c r="U2" s="1445"/>
      <c r="V2" s="1445"/>
      <c r="W2" s="1445"/>
      <c r="X2" s="1445"/>
      <c r="Y2" s="1445"/>
      <c r="Z2" s="1445"/>
      <c r="AA2" s="1445"/>
      <c r="AB2" s="1445"/>
      <c r="AC2" s="1445"/>
      <c r="AD2" s="1445"/>
      <c r="AE2" s="1445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F2" s="374"/>
      <c r="BG2" s="374"/>
      <c r="BH2" s="374"/>
      <c r="BI2" s="374"/>
      <c r="BJ2" s="374"/>
      <c r="BK2" s="374"/>
      <c r="BL2" s="374"/>
      <c r="BM2" s="374"/>
      <c r="BN2" s="374"/>
      <c r="BO2" s="374"/>
      <c r="BP2" s="374"/>
      <c r="BQ2" s="374"/>
      <c r="BR2" s="374"/>
      <c r="BS2" s="374"/>
      <c r="BT2" s="374"/>
      <c r="BU2" s="374"/>
      <c r="BV2" s="374"/>
      <c r="BW2" s="374"/>
      <c r="BX2" s="374"/>
      <c r="BY2" s="374"/>
      <c r="BZ2" s="374"/>
      <c r="CA2" s="374"/>
      <c r="CB2" s="374"/>
      <c r="CC2" s="374"/>
      <c r="CD2" s="374"/>
      <c r="CE2" s="374"/>
      <c r="CF2" s="374"/>
      <c r="CG2" s="374"/>
      <c r="CH2" s="374"/>
      <c r="CI2" s="374"/>
      <c r="CJ2" s="374"/>
      <c r="CK2" s="374"/>
      <c r="CL2" s="374"/>
      <c r="CM2" s="374"/>
      <c r="CN2" s="374"/>
      <c r="CO2" s="374"/>
      <c r="CP2" s="374"/>
      <c r="CQ2" s="374"/>
      <c r="CR2" s="374"/>
      <c r="CS2" s="374"/>
      <c r="CT2" s="374"/>
      <c r="CU2" s="374"/>
      <c r="CV2" s="374"/>
      <c r="CW2" s="374"/>
      <c r="CX2" s="374"/>
      <c r="CY2" s="374"/>
      <c r="CZ2" s="374"/>
      <c r="DA2" s="374"/>
      <c r="DB2" s="374"/>
      <c r="DC2" s="374"/>
      <c r="DD2" s="374"/>
      <c r="DE2" s="374"/>
      <c r="DF2" s="374"/>
      <c r="DG2" s="374"/>
      <c r="DH2" s="374"/>
      <c r="DI2" s="374"/>
      <c r="DJ2" s="374"/>
      <c r="DK2" s="374"/>
      <c r="DL2" s="374"/>
      <c r="DM2" s="374"/>
      <c r="DN2" s="374"/>
      <c r="DO2" s="374"/>
      <c r="DP2" s="374"/>
      <c r="DQ2" s="374"/>
      <c r="DR2" s="374"/>
      <c r="DS2" s="374"/>
      <c r="DT2" s="374"/>
      <c r="DU2" s="374"/>
      <c r="DV2" s="374"/>
      <c r="DW2" s="374"/>
      <c r="DX2" s="374"/>
      <c r="DY2" s="374"/>
      <c r="DZ2" s="374"/>
      <c r="EA2" s="374"/>
      <c r="EB2" s="374"/>
      <c r="EC2" s="374"/>
      <c r="ED2" s="374"/>
      <c r="EE2" s="374"/>
      <c r="EF2" s="374"/>
      <c r="EG2" s="374"/>
      <c r="EH2" s="374"/>
      <c r="EI2" s="374"/>
      <c r="EJ2" s="374"/>
      <c r="EK2" s="374"/>
      <c r="EL2" s="374"/>
      <c r="EM2" s="374"/>
      <c r="EN2" s="374"/>
      <c r="EO2" s="374"/>
      <c r="EP2" s="374"/>
      <c r="EQ2" s="374"/>
      <c r="ER2" s="374"/>
      <c r="ES2" s="374"/>
      <c r="ET2" s="374"/>
      <c r="EU2" s="374"/>
      <c r="EV2" s="374"/>
      <c r="EW2" s="374"/>
      <c r="EX2" s="374"/>
      <c r="EY2" s="374"/>
      <c r="EZ2" s="374"/>
      <c r="FA2" s="374"/>
      <c r="FB2" s="374"/>
      <c r="FC2" s="374"/>
      <c r="FD2" s="374"/>
      <c r="FE2" s="374"/>
      <c r="FF2" s="374"/>
      <c r="FG2" s="374"/>
      <c r="FH2" s="374"/>
      <c r="FI2" s="374"/>
      <c r="FJ2" s="374"/>
      <c r="FK2" s="374"/>
      <c r="FL2" s="374"/>
      <c r="FM2" s="374"/>
      <c r="FN2" s="374"/>
      <c r="FO2" s="374"/>
      <c r="FP2" s="374"/>
      <c r="FQ2" s="374"/>
      <c r="FR2" s="374"/>
      <c r="FS2" s="374"/>
      <c r="FT2" s="374"/>
      <c r="FU2" s="374"/>
      <c r="FV2" s="374"/>
      <c r="FW2" s="374"/>
      <c r="FX2" s="374"/>
      <c r="FY2" s="374"/>
      <c r="FZ2" s="374"/>
      <c r="GA2" s="374"/>
      <c r="GB2" s="374"/>
      <c r="GC2" s="374"/>
      <c r="GD2" s="374"/>
      <c r="GE2" s="374"/>
      <c r="GF2" s="374"/>
      <c r="GG2" s="374"/>
      <c r="GH2" s="374"/>
      <c r="GI2" s="374"/>
      <c r="GJ2" s="374"/>
      <c r="GK2" s="374"/>
      <c r="GL2" s="374"/>
      <c r="GM2" s="374"/>
      <c r="GN2" s="374"/>
      <c r="GO2" s="374"/>
      <c r="GP2" s="374"/>
      <c r="GQ2" s="374"/>
      <c r="GR2" s="374"/>
      <c r="GS2" s="374"/>
      <c r="GT2" s="374"/>
      <c r="GU2" s="374"/>
      <c r="GV2" s="374"/>
      <c r="GW2" s="374"/>
      <c r="GX2" s="374"/>
      <c r="GY2" s="374"/>
      <c r="GZ2" s="374"/>
      <c r="HA2" s="374"/>
      <c r="HB2" s="374"/>
      <c r="HC2" s="374"/>
      <c r="HD2" s="374"/>
      <c r="HE2" s="374"/>
      <c r="HF2" s="374"/>
      <c r="HG2" s="374"/>
      <c r="HH2" s="374"/>
      <c r="HI2" s="374"/>
      <c r="HJ2" s="374"/>
      <c r="HK2" s="374"/>
      <c r="HL2" s="374"/>
      <c r="HM2" s="374"/>
      <c r="HN2" s="374"/>
      <c r="HO2" s="374"/>
      <c r="HP2" s="374"/>
      <c r="HQ2" s="374"/>
      <c r="HR2" s="374"/>
      <c r="HS2" s="374"/>
      <c r="HT2" s="374"/>
      <c r="HU2" s="374"/>
      <c r="HV2" s="374"/>
      <c r="HW2" s="374"/>
      <c r="HX2" s="374"/>
      <c r="HY2" s="374"/>
      <c r="HZ2" s="374"/>
      <c r="IA2" s="374"/>
      <c r="IB2" s="374"/>
      <c r="IC2" s="374"/>
      <c r="ID2" s="374"/>
      <c r="IE2" s="374"/>
      <c r="IF2" s="374"/>
      <c r="IG2" s="374"/>
      <c r="IH2" s="374"/>
      <c r="II2" s="374"/>
      <c r="IJ2" s="374"/>
      <c r="IK2" s="374"/>
      <c r="IL2" s="374"/>
      <c r="IM2" s="374"/>
      <c r="IN2" s="374"/>
      <c r="IO2" s="374"/>
      <c r="IP2" s="374"/>
      <c r="IQ2" s="374"/>
      <c r="IR2" s="374"/>
      <c r="IS2" s="374"/>
      <c r="IT2" s="374"/>
      <c r="IU2" s="374"/>
    </row>
    <row r="3" spans="1:255" ht="38.25" customHeight="1">
      <c r="A3" s="1440" t="s">
        <v>508</v>
      </c>
      <c r="B3" s="1440"/>
      <c r="C3" s="1440"/>
      <c r="D3" s="1440"/>
      <c r="E3" s="1440"/>
      <c r="F3" s="1440"/>
      <c r="G3" s="1440"/>
      <c r="H3" s="1440"/>
      <c r="I3" s="1440"/>
      <c r="J3" s="1440"/>
      <c r="K3" s="1440"/>
      <c r="L3" s="1440"/>
      <c r="M3" s="1440"/>
      <c r="N3" s="1440"/>
      <c r="O3" s="1440"/>
      <c r="P3" s="1440"/>
      <c r="Q3" s="1440"/>
      <c r="R3" s="1440"/>
      <c r="S3" s="1440"/>
      <c r="T3" s="1440"/>
      <c r="U3" s="1440"/>
      <c r="V3" s="1440"/>
      <c r="W3" s="1440"/>
      <c r="X3" s="1440"/>
      <c r="Y3" s="1440"/>
      <c r="Z3" s="1440"/>
      <c r="AA3" s="1440"/>
      <c r="AB3" s="1440"/>
      <c r="AC3" s="1440"/>
      <c r="AD3" s="1440"/>
      <c r="AE3" s="1440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4"/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BV3" s="374"/>
      <c r="BW3" s="374"/>
      <c r="BX3" s="374"/>
      <c r="BY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374"/>
      <c r="CS3" s="374"/>
      <c r="CT3" s="374"/>
      <c r="CU3" s="374"/>
      <c r="CV3" s="374"/>
      <c r="CW3" s="374"/>
      <c r="CX3" s="374"/>
      <c r="CY3" s="374"/>
      <c r="CZ3" s="374"/>
      <c r="DA3" s="374"/>
      <c r="DB3" s="374"/>
      <c r="DC3" s="374"/>
      <c r="DD3" s="374"/>
      <c r="DE3" s="374"/>
      <c r="DF3" s="374"/>
      <c r="DG3" s="374"/>
      <c r="DH3" s="374"/>
      <c r="DI3" s="374"/>
      <c r="DJ3" s="374"/>
      <c r="DK3" s="374"/>
      <c r="DL3" s="374"/>
      <c r="DM3" s="374"/>
      <c r="DN3" s="374"/>
      <c r="DO3" s="374"/>
      <c r="DP3" s="374"/>
      <c r="DQ3" s="374"/>
      <c r="DR3" s="374"/>
      <c r="DS3" s="374"/>
      <c r="DT3" s="374"/>
      <c r="DU3" s="374"/>
      <c r="DV3" s="374"/>
      <c r="DW3" s="374"/>
      <c r="DX3" s="374"/>
      <c r="DY3" s="374"/>
      <c r="DZ3" s="374"/>
      <c r="EA3" s="374"/>
      <c r="EB3" s="374"/>
      <c r="EC3" s="374"/>
      <c r="ED3" s="374"/>
      <c r="EE3" s="374"/>
      <c r="EF3" s="374"/>
      <c r="EG3" s="374"/>
      <c r="EH3" s="374"/>
      <c r="EI3" s="374"/>
      <c r="EJ3" s="374"/>
      <c r="EK3" s="374"/>
      <c r="EL3" s="374"/>
      <c r="EM3" s="374"/>
      <c r="EN3" s="374"/>
      <c r="EO3" s="374"/>
      <c r="EP3" s="374"/>
      <c r="EQ3" s="374"/>
      <c r="ER3" s="374"/>
      <c r="ES3" s="374"/>
      <c r="ET3" s="374"/>
      <c r="EU3" s="374"/>
      <c r="EV3" s="374"/>
      <c r="EW3" s="374"/>
      <c r="EX3" s="374"/>
      <c r="EY3" s="374"/>
      <c r="EZ3" s="374"/>
      <c r="FA3" s="374"/>
      <c r="FB3" s="374"/>
      <c r="FC3" s="374"/>
      <c r="FD3" s="374"/>
      <c r="FE3" s="374"/>
      <c r="FF3" s="374"/>
      <c r="FG3" s="374"/>
      <c r="FH3" s="374"/>
      <c r="FI3" s="374"/>
      <c r="FJ3" s="374"/>
      <c r="FK3" s="374"/>
      <c r="FL3" s="374"/>
      <c r="FM3" s="374"/>
      <c r="FN3" s="374"/>
      <c r="FO3" s="374"/>
      <c r="FP3" s="374"/>
      <c r="FQ3" s="374"/>
      <c r="FR3" s="374"/>
      <c r="FS3" s="374"/>
      <c r="FT3" s="374"/>
      <c r="FU3" s="374"/>
      <c r="FV3" s="374"/>
      <c r="FW3" s="374"/>
      <c r="FX3" s="374"/>
      <c r="FY3" s="374"/>
      <c r="FZ3" s="374"/>
      <c r="GA3" s="374"/>
      <c r="GB3" s="374"/>
      <c r="GC3" s="374"/>
      <c r="GD3" s="374"/>
      <c r="GE3" s="374"/>
      <c r="GF3" s="374"/>
      <c r="GG3" s="374"/>
      <c r="GH3" s="374"/>
      <c r="GI3" s="374"/>
      <c r="GJ3" s="374"/>
      <c r="GK3" s="374"/>
      <c r="GL3" s="374"/>
      <c r="GM3" s="374"/>
      <c r="GN3" s="374"/>
      <c r="GO3" s="374"/>
      <c r="GP3" s="374"/>
      <c r="GQ3" s="374"/>
      <c r="GR3" s="374"/>
      <c r="GS3" s="374"/>
      <c r="GT3" s="374"/>
      <c r="GU3" s="374"/>
      <c r="GV3" s="374"/>
      <c r="GW3" s="374"/>
      <c r="GX3" s="374"/>
      <c r="GY3" s="374"/>
      <c r="GZ3" s="374"/>
      <c r="HA3" s="374"/>
      <c r="HB3" s="374"/>
      <c r="HC3" s="374"/>
      <c r="HD3" s="374"/>
      <c r="HE3" s="374"/>
      <c r="HF3" s="374"/>
      <c r="HG3" s="374"/>
      <c r="HH3" s="374"/>
      <c r="HI3" s="374"/>
      <c r="HJ3" s="374"/>
      <c r="HK3" s="374"/>
      <c r="HL3" s="374"/>
      <c r="HM3" s="374"/>
      <c r="HN3" s="374"/>
      <c r="HO3" s="374"/>
      <c r="HP3" s="374"/>
      <c r="HQ3" s="374"/>
      <c r="HR3" s="374"/>
      <c r="HS3" s="374"/>
      <c r="HT3" s="374"/>
      <c r="HU3" s="374"/>
      <c r="HV3" s="374"/>
      <c r="HW3" s="374"/>
      <c r="HX3" s="374"/>
      <c r="HY3" s="374"/>
      <c r="HZ3" s="374"/>
      <c r="IA3" s="374"/>
      <c r="IB3" s="374"/>
      <c r="IC3" s="374"/>
      <c r="ID3" s="374"/>
      <c r="IE3" s="374"/>
      <c r="IF3" s="374"/>
      <c r="IG3" s="374"/>
      <c r="IH3" s="374"/>
      <c r="II3" s="374"/>
      <c r="IJ3" s="374"/>
      <c r="IK3" s="374"/>
      <c r="IL3" s="374"/>
      <c r="IM3" s="374"/>
      <c r="IN3" s="374"/>
      <c r="IO3" s="374"/>
      <c r="IP3" s="374"/>
      <c r="IQ3" s="374"/>
      <c r="IR3" s="374"/>
      <c r="IS3" s="374"/>
      <c r="IT3" s="374"/>
      <c r="IU3" s="374"/>
    </row>
    <row r="4" spans="1:255" ht="15.75">
      <c r="A4" s="1446"/>
      <c r="B4" s="1446"/>
      <c r="C4" s="1446"/>
      <c r="D4" s="1446"/>
      <c r="E4" s="1446"/>
      <c r="F4" s="1446"/>
      <c r="G4" s="1446"/>
      <c r="H4" s="1446"/>
      <c r="I4" s="1446"/>
      <c r="J4" s="1446"/>
      <c r="K4" s="1446"/>
      <c r="L4" s="1446"/>
      <c r="M4" s="1446"/>
      <c r="N4" s="1446"/>
      <c r="O4" s="1446"/>
      <c r="P4" s="1446"/>
      <c r="Q4" s="1446"/>
      <c r="R4" s="1446"/>
      <c r="S4" s="1446"/>
      <c r="T4" s="1446"/>
      <c r="U4" s="1446"/>
      <c r="V4" s="1446"/>
      <c r="W4" s="1446"/>
      <c r="X4" s="1446"/>
      <c r="Y4" s="1446"/>
      <c r="Z4" s="1446"/>
      <c r="AA4" s="1446"/>
      <c r="AB4" s="1446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374"/>
      <c r="AZ4" s="374"/>
      <c r="BA4" s="374"/>
      <c r="BB4" s="374"/>
      <c r="BC4" s="374"/>
      <c r="BD4" s="374"/>
      <c r="BE4" s="374"/>
      <c r="BF4" s="374"/>
      <c r="BG4" s="374"/>
      <c r="BH4" s="374"/>
      <c r="BI4" s="374"/>
      <c r="BJ4" s="374"/>
      <c r="BK4" s="374"/>
      <c r="BL4" s="374"/>
      <c r="BM4" s="374"/>
      <c r="BN4" s="374"/>
      <c r="BO4" s="374"/>
      <c r="BP4" s="374"/>
      <c r="BQ4" s="374"/>
      <c r="BR4" s="374"/>
      <c r="BS4" s="374"/>
      <c r="BT4" s="374"/>
      <c r="BU4" s="374"/>
      <c r="BV4" s="374"/>
      <c r="BW4" s="374"/>
      <c r="BX4" s="374"/>
      <c r="BY4" s="374"/>
      <c r="BZ4" s="374"/>
      <c r="CA4" s="374"/>
      <c r="CB4" s="374"/>
      <c r="CC4" s="374"/>
      <c r="CD4" s="374"/>
      <c r="CE4" s="374"/>
      <c r="CF4" s="374"/>
      <c r="CG4" s="374"/>
      <c r="CH4" s="374"/>
      <c r="CI4" s="374"/>
      <c r="CJ4" s="374"/>
      <c r="CK4" s="374"/>
      <c r="CL4" s="374"/>
      <c r="CM4" s="374"/>
      <c r="CN4" s="374"/>
      <c r="CO4" s="374"/>
      <c r="CP4" s="374"/>
      <c r="CQ4" s="374"/>
      <c r="CR4" s="374"/>
      <c r="CS4" s="374"/>
      <c r="CT4" s="374"/>
      <c r="CU4" s="374"/>
      <c r="CV4" s="374"/>
      <c r="CW4" s="374"/>
      <c r="CX4" s="374"/>
      <c r="CY4" s="374"/>
      <c r="CZ4" s="374"/>
      <c r="DA4" s="374"/>
      <c r="DB4" s="374"/>
      <c r="DC4" s="374"/>
      <c r="DD4" s="374"/>
      <c r="DE4" s="374"/>
      <c r="DF4" s="374"/>
      <c r="DG4" s="374"/>
      <c r="DH4" s="374"/>
      <c r="DI4" s="374"/>
      <c r="DJ4" s="374"/>
      <c r="DK4" s="374"/>
      <c r="DL4" s="374"/>
      <c r="DM4" s="374"/>
      <c r="DN4" s="374"/>
      <c r="DO4" s="374"/>
      <c r="DP4" s="374"/>
      <c r="DQ4" s="374"/>
      <c r="DR4" s="374"/>
      <c r="DS4" s="374"/>
      <c r="DT4" s="374"/>
      <c r="DU4" s="374"/>
      <c r="DV4" s="374"/>
      <c r="DW4" s="374"/>
      <c r="DX4" s="374"/>
      <c r="DY4" s="374"/>
      <c r="DZ4" s="374"/>
      <c r="EA4" s="374"/>
      <c r="EB4" s="374"/>
      <c r="EC4" s="374"/>
      <c r="ED4" s="374"/>
      <c r="EE4" s="374"/>
      <c r="EF4" s="374"/>
      <c r="EG4" s="374"/>
      <c r="EH4" s="374"/>
      <c r="EI4" s="374"/>
      <c r="EJ4" s="374"/>
      <c r="EK4" s="374"/>
      <c r="EL4" s="374"/>
      <c r="EM4" s="374"/>
      <c r="EN4" s="374"/>
      <c r="EO4" s="374"/>
      <c r="EP4" s="374"/>
      <c r="EQ4" s="374"/>
      <c r="ER4" s="374"/>
      <c r="ES4" s="374"/>
      <c r="ET4" s="374"/>
      <c r="EU4" s="374"/>
      <c r="EV4" s="374"/>
      <c r="EW4" s="374"/>
      <c r="EX4" s="374"/>
      <c r="EY4" s="374"/>
      <c r="EZ4" s="374"/>
      <c r="FA4" s="374"/>
      <c r="FB4" s="374"/>
      <c r="FC4" s="374"/>
      <c r="FD4" s="374"/>
      <c r="FE4" s="374"/>
      <c r="FF4" s="374"/>
      <c r="FG4" s="374"/>
      <c r="FH4" s="374"/>
      <c r="FI4" s="374"/>
      <c r="FJ4" s="374"/>
      <c r="FK4" s="374"/>
      <c r="FL4" s="374"/>
      <c r="FM4" s="374"/>
      <c r="FN4" s="374"/>
      <c r="FO4" s="374"/>
      <c r="FP4" s="374"/>
      <c r="FQ4" s="374"/>
      <c r="FR4" s="374"/>
      <c r="FS4" s="374"/>
      <c r="FT4" s="374"/>
      <c r="FU4" s="374"/>
      <c r="FV4" s="374"/>
      <c r="FW4" s="374"/>
      <c r="FX4" s="374"/>
      <c r="FY4" s="374"/>
      <c r="FZ4" s="374"/>
      <c r="GA4" s="374"/>
      <c r="GB4" s="374"/>
      <c r="GC4" s="374"/>
      <c r="GD4" s="374"/>
      <c r="GE4" s="374"/>
      <c r="GF4" s="374"/>
      <c r="GG4" s="374"/>
      <c r="GH4" s="374"/>
      <c r="GI4" s="374"/>
      <c r="GJ4" s="374"/>
      <c r="GK4" s="374"/>
      <c r="GL4" s="374"/>
      <c r="GM4" s="374"/>
      <c r="GN4" s="374"/>
      <c r="GO4" s="374"/>
      <c r="GP4" s="374"/>
      <c r="GQ4" s="374"/>
      <c r="GR4" s="374"/>
      <c r="GS4" s="374"/>
      <c r="GT4" s="374"/>
      <c r="GU4" s="374"/>
      <c r="GV4" s="374"/>
      <c r="GW4" s="374"/>
      <c r="GX4" s="374"/>
      <c r="GY4" s="374"/>
      <c r="GZ4" s="374"/>
      <c r="HA4" s="374"/>
      <c r="HB4" s="374"/>
      <c r="HC4" s="374"/>
      <c r="HD4" s="374"/>
      <c r="HE4" s="374"/>
      <c r="HF4" s="374"/>
      <c r="HG4" s="374"/>
      <c r="HH4" s="374"/>
      <c r="HI4" s="374"/>
      <c r="HJ4" s="374"/>
      <c r="HK4" s="374"/>
      <c r="HL4" s="374"/>
      <c r="HM4" s="374"/>
      <c r="HN4" s="374"/>
      <c r="HO4" s="374"/>
      <c r="HP4" s="374"/>
      <c r="HQ4" s="374"/>
      <c r="HR4" s="374"/>
      <c r="HS4" s="374"/>
      <c r="HT4" s="374"/>
      <c r="HU4" s="374"/>
      <c r="HV4" s="374"/>
      <c r="HW4" s="374"/>
      <c r="HX4" s="374"/>
      <c r="HY4" s="374"/>
      <c r="HZ4" s="374"/>
      <c r="IA4" s="374"/>
      <c r="IB4" s="374"/>
      <c r="IC4" s="374"/>
      <c r="ID4" s="374"/>
      <c r="IE4" s="374"/>
      <c r="IF4" s="374"/>
      <c r="IG4" s="374"/>
      <c r="IH4" s="374"/>
      <c r="II4" s="374"/>
      <c r="IJ4" s="374"/>
      <c r="IK4" s="374"/>
      <c r="IL4" s="374"/>
      <c r="IM4" s="374"/>
      <c r="IN4" s="374"/>
      <c r="IO4" s="374"/>
      <c r="IP4" s="374"/>
      <c r="IQ4" s="374"/>
      <c r="IR4" s="374"/>
      <c r="IS4" s="374"/>
      <c r="IT4" s="374"/>
      <c r="IU4" s="374"/>
    </row>
    <row r="5" spans="1:31" ht="16.5" thickBot="1">
      <c r="A5" s="375"/>
      <c r="B5" s="375"/>
      <c r="C5" s="375"/>
      <c r="D5" s="375"/>
      <c r="E5" s="375"/>
      <c r="F5" s="375"/>
      <c r="G5" s="375"/>
      <c r="H5" s="375"/>
      <c r="I5" s="375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5"/>
      <c r="AB5" s="375"/>
      <c r="AE5" s="377" t="s">
        <v>175</v>
      </c>
    </row>
    <row r="6" spans="1:31" ht="13.5" customHeight="1" thickBot="1">
      <c r="A6" s="1447" t="s">
        <v>283</v>
      </c>
      <c r="B6" s="378"/>
      <c r="C6" s="1449" t="s">
        <v>284</v>
      </c>
      <c r="D6" s="1450"/>
      <c r="E6" s="1450"/>
      <c r="F6" s="1450"/>
      <c r="G6" s="1450"/>
      <c r="H6" s="1450"/>
      <c r="I6" s="1451"/>
      <c r="J6" s="1452" t="s">
        <v>285</v>
      </c>
      <c r="K6" s="1453"/>
      <c r="L6" s="1453"/>
      <c r="M6" s="1453"/>
      <c r="N6" s="1453"/>
      <c r="O6" s="1453"/>
      <c r="P6" s="1454"/>
      <c r="Q6" s="1452" t="s">
        <v>286</v>
      </c>
      <c r="R6" s="1453"/>
      <c r="S6" s="1453"/>
      <c r="T6" s="1453"/>
      <c r="U6" s="1453"/>
      <c r="V6" s="1453"/>
      <c r="W6" s="1453"/>
      <c r="X6" s="1453"/>
      <c r="Y6" s="1453"/>
      <c r="Z6" s="1454"/>
      <c r="AA6" s="1438" t="s">
        <v>287</v>
      </c>
      <c r="AB6" s="1441" t="s">
        <v>288</v>
      </c>
      <c r="AC6" s="1443" t="s">
        <v>289</v>
      </c>
      <c r="AD6" s="1443" t="s">
        <v>290</v>
      </c>
      <c r="AE6" s="1443" t="s">
        <v>291</v>
      </c>
    </row>
    <row r="7" spans="1:255" ht="102.75" customHeight="1" thickBot="1">
      <c r="A7" s="1448"/>
      <c r="B7" s="380"/>
      <c r="C7" s="381" t="s">
        <v>292</v>
      </c>
      <c r="D7" s="382" t="s">
        <v>293</v>
      </c>
      <c r="E7" s="382" t="s">
        <v>294</v>
      </c>
      <c r="F7" s="383" t="s">
        <v>295</v>
      </c>
      <c r="G7" s="383" t="s">
        <v>296</v>
      </c>
      <c r="H7" s="384" t="s">
        <v>297</v>
      </c>
      <c r="I7" s="385" t="s">
        <v>298</v>
      </c>
      <c r="J7" s="379" t="s">
        <v>299</v>
      </c>
      <c r="K7" s="382" t="s">
        <v>293</v>
      </c>
      <c r="L7" s="382" t="s">
        <v>294</v>
      </c>
      <c r="M7" s="383" t="s">
        <v>300</v>
      </c>
      <c r="N7" s="383" t="s">
        <v>296</v>
      </c>
      <c r="O7" s="384" t="s">
        <v>297</v>
      </c>
      <c r="P7" s="386" t="s">
        <v>301</v>
      </c>
      <c r="Q7" s="382" t="s">
        <v>293</v>
      </c>
      <c r="R7" s="382" t="s">
        <v>294</v>
      </c>
      <c r="S7" s="383" t="s">
        <v>302</v>
      </c>
      <c r="T7" s="383" t="s">
        <v>303</v>
      </c>
      <c r="U7" s="383" t="s">
        <v>296</v>
      </c>
      <c r="V7" s="383" t="s">
        <v>297</v>
      </c>
      <c r="W7" s="384" t="s">
        <v>304</v>
      </c>
      <c r="X7" s="384" t="s">
        <v>305</v>
      </c>
      <c r="Y7" s="384" t="s">
        <v>306</v>
      </c>
      <c r="Z7" s="387" t="s">
        <v>307</v>
      </c>
      <c r="AA7" s="1439"/>
      <c r="AB7" s="1442"/>
      <c r="AC7" s="1444"/>
      <c r="AD7" s="1444"/>
      <c r="AE7" s="1444"/>
      <c r="AF7" s="388"/>
      <c r="AG7" s="388"/>
      <c r="AH7" s="388"/>
      <c r="AI7" s="388"/>
      <c r="AJ7" s="388"/>
      <c r="AK7" s="388"/>
      <c r="AL7" s="388"/>
      <c r="AM7" s="388"/>
      <c r="AN7" s="388"/>
      <c r="AO7" s="388"/>
      <c r="AP7" s="388"/>
      <c r="AQ7" s="388"/>
      <c r="AR7" s="388"/>
      <c r="AS7" s="388"/>
      <c r="AT7" s="388"/>
      <c r="AU7" s="388"/>
      <c r="AV7" s="388"/>
      <c r="AW7" s="388"/>
      <c r="AX7" s="388"/>
      <c r="AY7" s="388"/>
      <c r="AZ7" s="388"/>
      <c r="BA7" s="388"/>
      <c r="BB7" s="388"/>
      <c r="BC7" s="388"/>
      <c r="BD7" s="388"/>
      <c r="BE7" s="388"/>
      <c r="BF7" s="388"/>
      <c r="BG7" s="388"/>
      <c r="BH7" s="388"/>
      <c r="BI7" s="388"/>
      <c r="BJ7" s="388"/>
      <c r="BK7" s="388"/>
      <c r="BL7" s="388"/>
      <c r="BM7" s="388"/>
      <c r="BN7" s="388"/>
      <c r="BO7" s="388"/>
      <c r="BP7" s="388"/>
      <c r="BQ7" s="388"/>
      <c r="BR7" s="388"/>
      <c r="BS7" s="388"/>
      <c r="BT7" s="388"/>
      <c r="BU7" s="388"/>
      <c r="BV7" s="388"/>
      <c r="BW7" s="388"/>
      <c r="BX7" s="388"/>
      <c r="BY7" s="388"/>
      <c r="BZ7" s="388"/>
      <c r="CA7" s="388"/>
      <c r="CB7" s="388"/>
      <c r="CC7" s="388"/>
      <c r="CD7" s="388"/>
      <c r="CE7" s="388"/>
      <c r="CF7" s="388"/>
      <c r="CG7" s="388"/>
      <c r="CH7" s="388"/>
      <c r="CI7" s="388"/>
      <c r="CJ7" s="388"/>
      <c r="CK7" s="388"/>
      <c r="CL7" s="388"/>
      <c r="CM7" s="388"/>
      <c r="CN7" s="388"/>
      <c r="CO7" s="388"/>
      <c r="CP7" s="388"/>
      <c r="CQ7" s="388"/>
      <c r="CR7" s="388"/>
      <c r="CS7" s="388"/>
      <c r="CT7" s="388"/>
      <c r="CU7" s="388"/>
      <c r="CV7" s="388"/>
      <c r="CW7" s="388"/>
      <c r="CX7" s="388"/>
      <c r="CY7" s="388"/>
      <c r="CZ7" s="388"/>
      <c r="DA7" s="388"/>
      <c r="DB7" s="388"/>
      <c r="DC7" s="388"/>
      <c r="DD7" s="388"/>
      <c r="DE7" s="388"/>
      <c r="DF7" s="388"/>
      <c r="DG7" s="388"/>
      <c r="DH7" s="388"/>
      <c r="DI7" s="388"/>
      <c r="DJ7" s="388"/>
      <c r="DK7" s="388"/>
      <c r="DL7" s="388"/>
      <c r="DM7" s="388"/>
      <c r="DN7" s="388"/>
      <c r="DO7" s="388"/>
      <c r="DP7" s="388"/>
      <c r="DQ7" s="388"/>
      <c r="DR7" s="388"/>
      <c r="DS7" s="388"/>
      <c r="DT7" s="388"/>
      <c r="DU7" s="388"/>
      <c r="DV7" s="388"/>
      <c r="DW7" s="388"/>
      <c r="DX7" s="388"/>
      <c r="DY7" s="388"/>
      <c r="DZ7" s="388"/>
      <c r="EA7" s="388"/>
      <c r="EB7" s="388"/>
      <c r="EC7" s="388"/>
      <c r="ED7" s="388"/>
      <c r="EE7" s="388"/>
      <c r="EF7" s="388"/>
      <c r="EG7" s="388"/>
      <c r="EH7" s="388"/>
      <c r="EI7" s="388"/>
      <c r="EJ7" s="388"/>
      <c r="EK7" s="388"/>
      <c r="EL7" s="388"/>
      <c r="EM7" s="388"/>
      <c r="EN7" s="388"/>
      <c r="EO7" s="388"/>
      <c r="EP7" s="388"/>
      <c r="EQ7" s="388"/>
      <c r="ER7" s="388"/>
      <c r="ES7" s="388"/>
      <c r="ET7" s="388"/>
      <c r="EU7" s="388"/>
      <c r="EV7" s="388"/>
      <c r="EW7" s="388"/>
      <c r="EX7" s="388"/>
      <c r="EY7" s="388"/>
      <c r="EZ7" s="388"/>
      <c r="FA7" s="388"/>
      <c r="FB7" s="388"/>
      <c r="FC7" s="388"/>
      <c r="FD7" s="388"/>
      <c r="FE7" s="388"/>
      <c r="FF7" s="388"/>
      <c r="FG7" s="388"/>
      <c r="FH7" s="388"/>
      <c r="FI7" s="388"/>
      <c r="FJ7" s="388"/>
      <c r="FK7" s="388"/>
      <c r="FL7" s="388"/>
      <c r="FM7" s="388"/>
      <c r="FN7" s="388"/>
      <c r="FO7" s="388"/>
      <c r="FP7" s="388"/>
      <c r="FQ7" s="388"/>
      <c r="FR7" s="388"/>
      <c r="FS7" s="388"/>
      <c r="FT7" s="388"/>
      <c r="FU7" s="388"/>
      <c r="FV7" s="388"/>
      <c r="FW7" s="388"/>
      <c r="FX7" s="388"/>
      <c r="FY7" s="388"/>
      <c r="FZ7" s="388"/>
      <c r="GA7" s="388"/>
      <c r="GB7" s="388"/>
      <c r="GC7" s="388"/>
      <c r="GD7" s="388"/>
      <c r="GE7" s="388"/>
      <c r="GF7" s="388"/>
      <c r="GG7" s="388"/>
      <c r="GH7" s="388"/>
      <c r="GI7" s="388"/>
      <c r="GJ7" s="388"/>
      <c r="GK7" s="388"/>
      <c r="GL7" s="388"/>
      <c r="GM7" s="388"/>
      <c r="GN7" s="388"/>
      <c r="GO7" s="388"/>
      <c r="GP7" s="388"/>
      <c r="GQ7" s="388"/>
      <c r="GR7" s="388"/>
      <c r="GS7" s="388"/>
      <c r="GT7" s="388"/>
      <c r="GU7" s="388"/>
      <c r="GV7" s="388"/>
      <c r="GW7" s="388"/>
      <c r="GX7" s="388"/>
      <c r="GY7" s="388"/>
      <c r="GZ7" s="388"/>
      <c r="HA7" s="388"/>
      <c r="HB7" s="388"/>
      <c r="HC7" s="388"/>
      <c r="HD7" s="388"/>
      <c r="HE7" s="388"/>
      <c r="HF7" s="388"/>
      <c r="HG7" s="388"/>
      <c r="HH7" s="388"/>
      <c r="HI7" s="388"/>
      <c r="HJ7" s="388"/>
      <c r="HK7" s="388"/>
      <c r="HL7" s="388"/>
      <c r="HM7" s="388"/>
      <c r="HN7" s="388"/>
      <c r="HO7" s="388"/>
      <c r="HP7" s="388"/>
      <c r="HQ7" s="388"/>
      <c r="HR7" s="388"/>
      <c r="HS7" s="388"/>
      <c r="HT7" s="388"/>
      <c r="HU7" s="388"/>
      <c r="HV7" s="388"/>
      <c r="HW7" s="388"/>
      <c r="HX7" s="388"/>
      <c r="HY7" s="388"/>
      <c r="HZ7" s="388"/>
      <c r="IA7" s="388"/>
      <c r="IB7" s="388"/>
      <c r="IC7" s="388"/>
      <c r="ID7" s="388"/>
      <c r="IE7" s="388"/>
      <c r="IF7" s="388"/>
      <c r="IG7" s="388"/>
      <c r="IH7" s="388"/>
      <c r="II7" s="388"/>
      <c r="IJ7" s="388"/>
      <c r="IK7" s="388"/>
      <c r="IL7" s="388"/>
      <c r="IM7" s="388"/>
      <c r="IN7" s="388"/>
      <c r="IO7" s="388"/>
      <c r="IP7" s="388"/>
      <c r="IQ7" s="388"/>
      <c r="IR7" s="388"/>
      <c r="IS7" s="388"/>
      <c r="IT7" s="388"/>
      <c r="IU7" s="388"/>
    </row>
    <row r="8" spans="1:31" ht="21.75" customHeight="1">
      <c r="A8" s="802" t="s">
        <v>39</v>
      </c>
      <c r="B8" s="389">
        <f>D8+K8+X8</f>
        <v>1109</v>
      </c>
      <c r="C8" s="390">
        <v>207</v>
      </c>
      <c r="D8" s="391">
        <f>812+240-100-53</f>
        <v>899</v>
      </c>
      <c r="E8" s="392">
        <f>610+210</f>
        <v>820</v>
      </c>
      <c r="F8" s="393">
        <v>21</v>
      </c>
      <c r="G8" s="394">
        <f aca="true" t="shared" si="0" ref="G8:G15">D8*C8*F8</f>
        <v>3907953</v>
      </c>
      <c r="H8" s="395">
        <f aca="true" t="shared" si="1" ref="H8:H15">E8*C8*F8</f>
        <v>3564540</v>
      </c>
      <c r="I8" s="396">
        <f aca="true" t="shared" si="2" ref="I8:I15">(C8*D8*F8+C8*E8*F8)/1000*0.9727</f>
        <v>7268.4939411000005</v>
      </c>
      <c r="J8" s="397">
        <v>177</v>
      </c>
      <c r="K8" s="398">
        <v>210</v>
      </c>
      <c r="L8" s="399">
        <f>174+100</f>
        <v>274</v>
      </c>
      <c r="M8" s="400">
        <f>21</f>
        <v>21</v>
      </c>
      <c r="N8" s="401" t="e">
        <f>K8*#REF!*M8</f>
        <v>#REF!</v>
      </c>
      <c r="O8" s="402" t="e">
        <f>L8*#REF!*M8</f>
        <v>#REF!</v>
      </c>
      <c r="P8" s="403">
        <f aca="true" t="shared" si="3" ref="P8:P15">(J8*K8*M8+J8*L8*M8)/1000*0.9727</f>
        <v>1749.9145356000001</v>
      </c>
      <c r="Q8" s="404"/>
      <c r="R8" s="405"/>
      <c r="S8" s="405"/>
      <c r="T8" s="405"/>
      <c r="U8" s="405"/>
      <c r="V8" s="405"/>
      <c r="W8" s="406"/>
      <c r="X8" s="406"/>
      <c r="Y8" s="406"/>
      <c r="Z8" s="407"/>
      <c r="AA8" s="408" t="e">
        <f aca="true" t="shared" si="4" ref="AA8:AA15">G8+N8+U8</f>
        <v>#REF!</v>
      </c>
      <c r="AB8" s="409">
        <f aca="true" t="shared" si="5" ref="AB8:AB15">ROUND(I8+P8+Z8,1)</f>
        <v>9018.4</v>
      </c>
      <c r="AC8" s="410">
        <v>9018.4</v>
      </c>
      <c r="AD8" s="410">
        <v>13469.1</v>
      </c>
      <c r="AE8" s="410">
        <v>13848.5</v>
      </c>
    </row>
    <row r="9" spans="1:31" ht="28.5" customHeight="1">
      <c r="A9" s="805" t="s">
        <v>479</v>
      </c>
      <c r="B9" s="389"/>
      <c r="C9" s="411">
        <v>207</v>
      </c>
      <c r="D9" s="412">
        <f>85+104</f>
        <v>189</v>
      </c>
      <c r="E9" s="413">
        <f>85</f>
        <v>85</v>
      </c>
      <c r="F9" s="414">
        <v>21</v>
      </c>
      <c r="G9" s="415">
        <f>D9*C9*F9</f>
        <v>821583</v>
      </c>
      <c r="H9" s="416">
        <f>E9*C9*F9</f>
        <v>369495</v>
      </c>
      <c r="I9" s="417">
        <f t="shared" si="2"/>
        <v>1158.5615706</v>
      </c>
      <c r="J9" s="418">
        <v>177</v>
      </c>
      <c r="K9" s="419">
        <f>57+60</f>
        <v>117</v>
      </c>
      <c r="L9" s="412">
        <v>57</v>
      </c>
      <c r="M9" s="414">
        <v>21</v>
      </c>
      <c r="N9" s="415" t="e">
        <f>K9*#REF!*M9</f>
        <v>#REF!</v>
      </c>
      <c r="O9" s="416" t="e">
        <f>L9*#REF!*M9</f>
        <v>#REF!</v>
      </c>
      <c r="P9" s="403">
        <f t="shared" si="3"/>
        <v>629.1015066</v>
      </c>
      <c r="Q9" s="420"/>
      <c r="R9" s="421"/>
      <c r="S9" s="421"/>
      <c r="T9" s="421"/>
      <c r="U9" s="421"/>
      <c r="V9" s="421"/>
      <c r="W9" s="422"/>
      <c r="X9" s="414"/>
      <c r="Y9" s="414"/>
      <c r="Z9" s="423"/>
      <c r="AA9" s="424" t="e">
        <f>G9+N9+U9</f>
        <v>#REF!</v>
      </c>
      <c r="AB9" s="409">
        <f>ROUND(I9+P9+Z9,1)</f>
        <v>1787.7</v>
      </c>
      <c r="AC9" s="410">
        <v>1787.7</v>
      </c>
      <c r="AD9" s="410">
        <v>1877.1</v>
      </c>
      <c r="AE9" s="410">
        <v>1952.2</v>
      </c>
    </row>
    <row r="10" spans="1:31" ht="27" customHeight="1">
      <c r="A10" s="805" t="s">
        <v>478</v>
      </c>
      <c r="B10" s="389"/>
      <c r="C10" s="411">
        <v>207</v>
      </c>
      <c r="D10" s="412">
        <f>31-6</f>
        <v>25</v>
      </c>
      <c r="E10" s="413">
        <f>6</f>
        <v>6</v>
      </c>
      <c r="F10" s="414">
        <v>21</v>
      </c>
      <c r="G10" s="415">
        <f>D10*C10*F10</f>
        <v>108675</v>
      </c>
      <c r="H10" s="416">
        <f>E10*C10*F10</f>
        <v>26082</v>
      </c>
      <c r="I10" s="417">
        <f t="shared" si="2"/>
        <v>131.0781339</v>
      </c>
      <c r="J10" s="418">
        <v>177</v>
      </c>
      <c r="K10" s="419">
        <v>70</v>
      </c>
      <c r="L10" s="412">
        <v>54</v>
      </c>
      <c r="M10" s="414">
        <v>21</v>
      </c>
      <c r="N10" s="415" t="e">
        <f>K10*#REF!*M10</f>
        <v>#REF!</v>
      </c>
      <c r="O10" s="416" t="e">
        <f>L10*#REF!*M10</f>
        <v>#REF!</v>
      </c>
      <c r="P10" s="403">
        <f t="shared" si="3"/>
        <v>448.32521160000005</v>
      </c>
      <c r="Q10" s="420"/>
      <c r="R10" s="421">
        <v>10</v>
      </c>
      <c r="S10" s="421">
        <f>Q10+R10</f>
        <v>10</v>
      </c>
      <c r="T10" s="421">
        <v>177</v>
      </c>
      <c r="U10" s="421"/>
      <c r="V10" s="421">
        <f>R10*T10</f>
        <v>1770</v>
      </c>
      <c r="W10" s="422">
        <v>169</v>
      </c>
      <c r="X10" s="414"/>
      <c r="Y10" s="414">
        <v>12</v>
      </c>
      <c r="Z10" s="423">
        <f>(U10+V10)/1000</f>
        <v>1.77</v>
      </c>
      <c r="AA10" s="424" t="e">
        <f>G10+N10+U10</f>
        <v>#REF!</v>
      </c>
      <c r="AB10" s="409">
        <f>ROUND(I10+P10+Z10,1)</f>
        <v>581.2</v>
      </c>
      <c r="AC10" s="410">
        <v>581.2</v>
      </c>
      <c r="AD10" s="410">
        <v>610.3</v>
      </c>
      <c r="AE10" s="410">
        <v>634.7</v>
      </c>
    </row>
    <row r="11" spans="1:31" ht="17.25" customHeight="1">
      <c r="A11" s="803" t="s">
        <v>0</v>
      </c>
      <c r="B11" s="389">
        <f>D11+K11+X11</f>
        <v>211</v>
      </c>
      <c r="C11" s="411">
        <v>207</v>
      </c>
      <c r="D11" s="412">
        <f>141-45+20</f>
        <v>116</v>
      </c>
      <c r="E11" s="413">
        <f>77</f>
        <v>77</v>
      </c>
      <c r="F11" s="414">
        <v>21</v>
      </c>
      <c r="G11" s="415">
        <f t="shared" si="0"/>
        <v>504252</v>
      </c>
      <c r="H11" s="416">
        <f t="shared" si="1"/>
        <v>334719</v>
      </c>
      <c r="I11" s="417">
        <f t="shared" si="2"/>
        <v>816.0670917</v>
      </c>
      <c r="J11" s="418">
        <v>177</v>
      </c>
      <c r="K11" s="419">
        <f>30</f>
        <v>30</v>
      </c>
      <c r="L11" s="412">
        <f>17+2</f>
        <v>19</v>
      </c>
      <c r="M11" s="414">
        <v>21</v>
      </c>
      <c r="N11" s="415" t="e">
        <f>K11*#REF!*M11</f>
        <v>#REF!</v>
      </c>
      <c r="O11" s="416" t="e">
        <f>L11*#REF!*M11</f>
        <v>#REF!</v>
      </c>
      <c r="P11" s="403">
        <f t="shared" si="3"/>
        <v>177.1607691</v>
      </c>
      <c r="Q11" s="420">
        <v>45</v>
      </c>
      <c r="R11" s="421">
        <v>50</v>
      </c>
      <c r="S11" s="421">
        <f>Q11+R11</f>
        <v>95</v>
      </c>
      <c r="T11" s="421">
        <v>177</v>
      </c>
      <c r="U11" s="421">
        <f>Q11*T11</f>
        <v>7965</v>
      </c>
      <c r="V11" s="421">
        <f>R11*T11</f>
        <v>8850</v>
      </c>
      <c r="W11" s="422">
        <v>169</v>
      </c>
      <c r="X11" s="414">
        <f>65</f>
        <v>65</v>
      </c>
      <c r="Y11" s="414">
        <v>54</v>
      </c>
      <c r="Z11" s="423">
        <f>(U11+V11)/1000</f>
        <v>16.815</v>
      </c>
      <c r="AA11" s="424" t="e">
        <f t="shared" si="4"/>
        <v>#REF!</v>
      </c>
      <c r="AB11" s="409">
        <f t="shared" si="5"/>
        <v>1010</v>
      </c>
      <c r="AC11" s="410">
        <v>1010</v>
      </c>
      <c r="AD11" s="410">
        <v>1060.5</v>
      </c>
      <c r="AE11" s="410">
        <v>1103</v>
      </c>
    </row>
    <row r="12" spans="1:31" ht="17.25" customHeight="1">
      <c r="A12" s="803" t="s">
        <v>36</v>
      </c>
      <c r="B12" s="389">
        <f>D12+K12+X12</f>
        <v>540</v>
      </c>
      <c r="C12" s="411">
        <v>207</v>
      </c>
      <c r="D12" s="412">
        <f>112+137+20</f>
        <v>269</v>
      </c>
      <c r="E12" s="413">
        <f>105</f>
        <v>105</v>
      </c>
      <c r="F12" s="414">
        <v>21</v>
      </c>
      <c r="G12" s="415">
        <f t="shared" si="0"/>
        <v>1169343</v>
      </c>
      <c r="H12" s="416">
        <f t="shared" si="1"/>
        <v>456435</v>
      </c>
      <c r="I12" s="417">
        <f t="shared" si="2"/>
        <v>1581.3942606</v>
      </c>
      <c r="J12" s="418">
        <v>177</v>
      </c>
      <c r="K12" s="419">
        <f>112+35</f>
        <v>147</v>
      </c>
      <c r="L12" s="412">
        <f>47+35</f>
        <v>82</v>
      </c>
      <c r="M12" s="414">
        <v>21</v>
      </c>
      <c r="N12" s="415" t="e">
        <f>K12*#REF!*M12</f>
        <v>#REF!</v>
      </c>
      <c r="O12" s="416" t="e">
        <f>L12*#REF!*M12</f>
        <v>#REF!</v>
      </c>
      <c r="P12" s="403">
        <f t="shared" si="3"/>
        <v>827.9554310999999</v>
      </c>
      <c r="Q12" s="420">
        <v>120</v>
      </c>
      <c r="R12" s="421">
        <v>80</v>
      </c>
      <c r="S12" s="421">
        <f>Q12+R12</f>
        <v>200</v>
      </c>
      <c r="T12" s="421">
        <v>177</v>
      </c>
      <c r="U12" s="421">
        <f>Q12*T12</f>
        <v>21240</v>
      </c>
      <c r="V12" s="421">
        <f>R12*T12</f>
        <v>14160</v>
      </c>
      <c r="W12" s="422">
        <v>169</v>
      </c>
      <c r="X12" s="414">
        <v>124</v>
      </c>
      <c r="Y12" s="414">
        <v>93</v>
      </c>
      <c r="Z12" s="423">
        <f>(U12+V12)/1000</f>
        <v>35.4</v>
      </c>
      <c r="AA12" s="424" t="e">
        <f t="shared" si="4"/>
        <v>#REF!</v>
      </c>
      <c r="AB12" s="409">
        <f t="shared" si="5"/>
        <v>2444.7</v>
      </c>
      <c r="AC12" s="410">
        <v>2444.7</v>
      </c>
      <c r="AD12" s="410">
        <v>2567</v>
      </c>
      <c r="AE12" s="410">
        <v>2670</v>
      </c>
    </row>
    <row r="13" spans="1:31" ht="17.25" customHeight="1">
      <c r="A13" s="803" t="s">
        <v>31</v>
      </c>
      <c r="B13" s="389">
        <f>D13+K13+X13</f>
        <v>215</v>
      </c>
      <c r="C13" s="411">
        <v>207</v>
      </c>
      <c r="D13" s="412">
        <f>30+100</f>
        <v>130</v>
      </c>
      <c r="E13" s="413">
        <f>11</f>
        <v>11</v>
      </c>
      <c r="F13" s="414">
        <v>21</v>
      </c>
      <c r="G13" s="415">
        <f t="shared" si="0"/>
        <v>565110</v>
      </c>
      <c r="H13" s="416">
        <f t="shared" si="1"/>
        <v>47817</v>
      </c>
      <c r="I13" s="417">
        <f t="shared" si="2"/>
        <v>596.1940929</v>
      </c>
      <c r="J13" s="418">
        <v>177</v>
      </c>
      <c r="K13" s="419">
        <f>55+30</f>
        <v>85</v>
      </c>
      <c r="L13" s="412">
        <f>25+25</f>
        <v>50</v>
      </c>
      <c r="M13" s="414">
        <v>21</v>
      </c>
      <c r="N13" s="415" t="e">
        <f>K13*#REF!*M13</f>
        <v>#REF!</v>
      </c>
      <c r="O13" s="416" t="e">
        <f>L13*#REF!*M13</f>
        <v>#REF!</v>
      </c>
      <c r="P13" s="403">
        <f t="shared" si="3"/>
        <v>488.0959965</v>
      </c>
      <c r="Q13" s="420"/>
      <c r="R13" s="421"/>
      <c r="S13" s="421"/>
      <c r="T13" s="421"/>
      <c r="U13" s="421"/>
      <c r="V13" s="421"/>
      <c r="W13" s="422"/>
      <c r="X13" s="414"/>
      <c r="Y13" s="414"/>
      <c r="Z13" s="423"/>
      <c r="AA13" s="424" t="e">
        <f t="shared" si="4"/>
        <v>#REF!</v>
      </c>
      <c r="AB13" s="409">
        <f t="shared" si="5"/>
        <v>1084.3</v>
      </c>
      <c r="AC13" s="410">
        <v>1084.3</v>
      </c>
      <c r="AD13" s="410">
        <v>1138.5</v>
      </c>
      <c r="AE13" s="410">
        <v>1184</v>
      </c>
    </row>
    <row r="14" spans="1:31" ht="17.25" customHeight="1">
      <c r="A14" s="803" t="s">
        <v>32</v>
      </c>
      <c r="B14" s="389">
        <f>D14+K14+X14</f>
        <v>209</v>
      </c>
      <c r="C14" s="411">
        <v>207</v>
      </c>
      <c r="D14" s="412">
        <f>163</f>
        <v>163</v>
      </c>
      <c r="E14" s="413">
        <v>85</v>
      </c>
      <c r="F14" s="414">
        <v>21</v>
      </c>
      <c r="G14" s="415">
        <f t="shared" si="0"/>
        <v>708561</v>
      </c>
      <c r="H14" s="416">
        <f t="shared" si="1"/>
        <v>369495</v>
      </c>
      <c r="I14" s="417">
        <f t="shared" si="2"/>
        <v>1048.6250712</v>
      </c>
      <c r="J14" s="418">
        <v>177</v>
      </c>
      <c r="K14" s="419">
        <f>15+1</f>
        <v>16</v>
      </c>
      <c r="L14" s="412">
        <v>15</v>
      </c>
      <c r="M14" s="414">
        <v>21</v>
      </c>
      <c r="N14" s="415" t="e">
        <f>K14*#REF!*M14</f>
        <v>#REF!</v>
      </c>
      <c r="O14" s="416" t="e">
        <f>L14*#REF!*M14</f>
        <v>#REF!</v>
      </c>
      <c r="P14" s="403">
        <f t="shared" si="3"/>
        <v>112.08130290000001</v>
      </c>
      <c r="Q14" s="420">
        <v>30</v>
      </c>
      <c r="R14" s="421">
        <v>30</v>
      </c>
      <c r="S14" s="421">
        <f>Q14+R14</f>
        <v>60</v>
      </c>
      <c r="T14" s="421">
        <v>177</v>
      </c>
      <c r="U14" s="421">
        <f>Q14*T14</f>
        <v>5310</v>
      </c>
      <c r="V14" s="421">
        <f>R14*T14</f>
        <v>5310</v>
      </c>
      <c r="W14" s="422">
        <v>169</v>
      </c>
      <c r="X14" s="414">
        <f>30</f>
        <v>30</v>
      </c>
      <c r="Y14" s="414">
        <v>30</v>
      </c>
      <c r="Z14" s="423">
        <f>(U14+V14)/1000</f>
        <v>10.62</v>
      </c>
      <c r="AA14" s="424" t="e">
        <f t="shared" si="4"/>
        <v>#REF!</v>
      </c>
      <c r="AB14" s="409">
        <f t="shared" si="5"/>
        <v>1171.3</v>
      </c>
      <c r="AC14" s="410">
        <v>1171.3</v>
      </c>
      <c r="AD14" s="410">
        <v>1230</v>
      </c>
      <c r="AE14" s="410">
        <v>1279.2</v>
      </c>
    </row>
    <row r="15" spans="1:31" ht="19.5" customHeight="1" thickBot="1">
      <c r="A15" s="804" t="s">
        <v>33</v>
      </c>
      <c r="B15" s="389">
        <f>D15+K15+X15</f>
        <v>301</v>
      </c>
      <c r="C15" s="411">
        <v>207</v>
      </c>
      <c r="D15" s="425">
        <f>116-19+20</f>
        <v>117</v>
      </c>
      <c r="E15" s="426">
        <v>127</v>
      </c>
      <c r="F15" s="427">
        <v>21</v>
      </c>
      <c r="G15" s="428">
        <f t="shared" si="0"/>
        <v>508599</v>
      </c>
      <c r="H15" s="429">
        <f t="shared" si="1"/>
        <v>552069</v>
      </c>
      <c r="I15" s="430">
        <f t="shared" si="2"/>
        <v>1031.7117635999998</v>
      </c>
      <c r="J15" s="418">
        <v>177</v>
      </c>
      <c r="K15" s="431">
        <v>184</v>
      </c>
      <c r="L15" s="425">
        <v>134</v>
      </c>
      <c r="M15" s="427">
        <v>21</v>
      </c>
      <c r="N15" s="428" t="e">
        <f>K15*#REF!*M15</f>
        <v>#REF!</v>
      </c>
      <c r="O15" s="429" t="e">
        <f>L15*#REF!*M15</f>
        <v>#REF!</v>
      </c>
      <c r="P15" s="403">
        <f t="shared" si="3"/>
        <v>1149.7372362</v>
      </c>
      <c r="Q15" s="432"/>
      <c r="R15" s="433"/>
      <c r="S15" s="433"/>
      <c r="T15" s="421">
        <v>177</v>
      </c>
      <c r="U15" s="433"/>
      <c r="V15" s="433"/>
      <c r="W15" s="434"/>
      <c r="X15" s="434"/>
      <c r="Y15" s="434"/>
      <c r="Z15" s="435"/>
      <c r="AA15" s="436" t="e">
        <f t="shared" si="4"/>
        <v>#REF!</v>
      </c>
      <c r="AB15" s="437">
        <f t="shared" si="5"/>
        <v>2181.4</v>
      </c>
      <c r="AC15" s="410">
        <v>2181.4</v>
      </c>
      <c r="AD15" s="410">
        <v>2290.5</v>
      </c>
      <c r="AE15" s="410">
        <v>2381.1</v>
      </c>
    </row>
    <row r="16" spans="1:31" ht="17.25" customHeight="1" thickBot="1">
      <c r="A16" s="438" t="s">
        <v>37</v>
      </c>
      <c r="B16" s="439">
        <f>SUM(B8:B15)</f>
        <v>2585</v>
      </c>
      <c r="C16" s="438"/>
      <c r="D16" s="439">
        <f>SUM(D8:D15)</f>
        <v>1908</v>
      </c>
      <c r="E16" s="440">
        <f>SUM(E8:E15)</f>
        <v>1316</v>
      </c>
      <c r="F16" s="441"/>
      <c r="G16" s="442">
        <f>SUM(G8:G15)</f>
        <v>8294076</v>
      </c>
      <c r="H16" s="443">
        <f>SUM(H8:H15)</f>
        <v>5720652</v>
      </c>
      <c r="I16" s="444">
        <f>SUM(I8:I15)</f>
        <v>13632.125925600001</v>
      </c>
      <c r="J16" s="445"/>
      <c r="K16" s="446">
        <f>SUM(K8:K15)</f>
        <v>859</v>
      </c>
      <c r="L16" s="439">
        <f>SUM(L8:L15)</f>
        <v>685</v>
      </c>
      <c r="M16" s="447"/>
      <c r="N16" s="442" t="e">
        <f aca="true" t="shared" si="6" ref="N16:S16">SUM(N8:N15)</f>
        <v>#REF!</v>
      </c>
      <c r="O16" s="443" t="e">
        <f t="shared" si="6"/>
        <v>#REF!</v>
      </c>
      <c r="P16" s="444">
        <f t="shared" si="6"/>
        <v>5582.3719896</v>
      </c>
      <c r="Q16" s="448">
        <f t="shared" si="6"/>
        <v>195</v>
      </c>
      <c r="R16" s="441">
        <f t="shared" si="6"/>
        <v>170</v>
      </c>
      <c r="S16" s="441">
        <f t="shared" si="6"/>
        <v>365</v>
      </c>
      <c r="T16" s="449"/>
      <c r="U16" s="450">
        <f aca="true" t="shared" si="7" ref="U16:AA16">SUM(U8:U15)</f>
        <v>34515</v>
      </c>
      <c r="V16" s="450">
        <f t="shared" si="7"/>
        <v>30090</v>
      </c>
      <c r="W16" s="451"/>
      <c r="X16" s="452">
        <f>SUM(X11:X14)</f>
        <v>219</v>
      </c>
      <c r="Y16" s="452">
        <f>SUM(Y11:Y14)</f>
        <v>177</v>
      </c>
      <c r="Z16" s="453">
        <f t="shared" si="7"/>
        <v>64.605</v>
      </c>
      <c r="AA16" s="454" t="e">
        <f t="shared" si="7"/>
        <v>#REF!</v>
      </c>
      <c r="AB16" s="455">
        <f>SUM(AB8:AB15)</f>
        <v>19279</v>
      </c>
      <c r="AC16" s="456">
        <f>SUM(AC8:AC15)</f>
        <v>19279</v>
      </c>
      <c r="AD16" s="456">
        <f>SUM(AD8:AD15)</f>
        <v>24243</v>
      </c>
      <c r="AE16" s="456">
        <f>SUM(AE8:AE15)</f>
        <v>25052.7</v>
      </c>
    </row>
    <row r="18" spans="28:29" ht="15.75">
      <c r="AB18" s="457"/>
      <c r="AC18" s="371"/>
    </row>
    <row r="19" spans="1:255" ht="15.75">
      <c r="A19" s="374"/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7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457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374"/>
      <c r="AP19" s="374"/>
      <c r="AQ19" s="374"/>
      <c r="AR19" s="374"/>
      <c r="AS19" s="374"/>
      <c r="AT19" s="374"/>
      <c r="AU19" s="374"/>
      <c r="AV19" s="374"/>
      <c r="AW19" s="374"/>
      <c r="AX19" s="374"/>
      <c r="AY19" s="374"/>
      <c r="AZ19" s="374"/>
      <c r="BA19" s="374"/>
      <c r="BB19" s="374"/>
      <c r="BC19" s="374"/>
      <c r="BD19" s="374"/>
      <c r="BE19" s="374"/>
      <c r="BF19" s="374"/>
      <c r="BG19" s="374"/>
      <c r="BH19" s="374"/>
      <c r="BI19" s="374"/>
      <c r="BJ19" s="374"/>
      <c r="BK19" s="374"/>
      <c r="BL19" s="374"/>
      <c r="BM19" s="374"/>
      <c r="BN19" s="374"/>
      <c r="BO19" s="374"/>
      <c r="BP19" s="374"/>
      <c r="BQ19" s="374"/>
      <c r="BR19" s="374"/>
      <c r="BS19" s="374"/>
      <c r="BT19" s="374"/>
      <c r="BU19" s="374"/>
      <c r="BV19" s="374"/>
      <c r="BW19" s="374"/>
      <c r="BX19" s="374"/>
      <c r="BY19" s="374"/>
      <c r="BZ19" s="374"/>
      <c r="CA19" s="374"/>
      <c r="CB19" s="374"/>
      <c r="CC19" s="374"/>
      <c r="CD19" s="374"/>
      <c r="CE19" s="374"/>
      <c r="CF19" s="374"/>
      <c r="CG19" s="374"/>
      <c r="CH19" s="374"/>
      <c r="CI19" s="374"/>
      <c r="CJ19" s="374"/>
      <c r="CK19" s="374"/>
      <c r="CL19" s="374"/>
      <c r="CM19" s="374"/>
      <c r="CN19" s="374"/>
      <c r="CO19" s="374"/>
      <c r="CP19" s="374"/>
      <c r="CQ19" s="374"/>
      <c r="CR19" s="374"/>
      <c r="CS19" s="374"/>
      <c r="CT19" s="374"/>
      <c r="CU19" s="374"/>
      <c r="CV19" s="374"/>
      <c r="CW19" s="374"/>
      <c r="CX19" s="374"/>
      <c r="CY19" s="374"/>
      <c r="CZ19" s="374"/>
      <c r="DA19" s="374"/>
      <c r="DB19" s="374"/>
      <c r="DC19" s="374"/>
      <c r="DD19" s="374"/>
      <c r="DE19" s="374"/>
      <c r="DF19" s="374"/>
      <c r="DG19" s="374"/>
      <c r="DH19" s="374"/>
      <c r="DI19" s="374"/>
      <c r="DJ19" s="374"/>
      <c r="DK19" s="374"/>
      <c r="DL19" s="374"/>
      <c r="DM19" s="374"/>
      <c r="DN19" s="374"/>
      <c r="DO19" s="374"/>
      <c r="DP19" s="374"/>
      <c r="DQ19" s="374"/>
      <c r="DR19" s="374"/>
      <c r="DS19" s="374"/>
      <c r="DT19" s="374"/>
      <c r="DU19" s="374"/>
      <c r="DV19" s="374"/>
      <c r="DW19" s="374"/>
      <c r="DX19" s="374"/>
      <c r="DY19" s="374"/>
      <c r="DZ19" s="374"/>
      <c r="EA19" s="374"/>
      <c r="EB19" s="374"/>
      <c r="EC19" s="374"/>
      <c r="ED19" s="374"/>
      <c r="EE19" s="374"/>
      <c r="EF19" s="374"/>
      <c r="EG19" s="374"/>
      <c r="EH19" s="374"/>
      <c r="EI19" s="374"/>
      <c r="EJ19" s="374"/>
      <c r="EK19" s="374"/>
      <c r="EL19" s="374"/>
      <c r="EM19" s="374"/>
      <c r="EN19" s="374"/>
      <c r="EO19" s="374"/>
      <c r="EP19" s="374"/>
      <c r="EQ19" s="374"/>
      <c r="ER19" s="374"/>
      <c r="ES19" s="374"/>
      <c r="ET19" s="374"/>
      <c r="EU19" s="374"/>
      <c r="EV19" s="374"/>
      <c r="EW19" s="374"/>
      <c r="EX19" s="374"/>
      <c r="EY19" s="374"/>
      <c r="EZ19" s="374"/>
      <c r="FA19" s="374"/>
      <c r="FB19" s="374"/>
      <c r="FC19" s="374"/>
      <c r="FD19" s="374"/>
      <c r="FE19" s="374"/>
      <c r="FF19" s="374"/>
      <c r="FG19" s="374"/>
      <c r="FH19" s="374"/>
      <c r="FI19" s="374"/>
      <c r="FJ19" s="374"/>
      <c r="FK19" s="374"/>
      <c r="FL19" s="374"/>
      <c r="FM19" s="374"/>
      <c r="FN19" s="374"/>
      <c r="FO19" s="374"/>
      <c r="FP19" s="374"/>
      <c r="FQ19" s="374"/>
      <c r="FR19" s="374"/>
      <c r="FS19" s="374"/>
      <c r="FT19" s="374"/>
      <c r="FU19" s="374"/>
      <c r="FV19" s="374"/>
      <c r="FW19" s="374"/>
      <c r="FX19" s="374"/>
      <c r="FY19" s="374"/>
      <c r="FZ19" s="374"/>
      <c r="GA19" s="374"/>
      <c r="GB19" s="374"/>
      <c r="GC19" s="374"/>
      <c r="GD19" s="374"/>
      <c r="GE19" s="374"/>
      <c r="GF19" s="374"/>
      <c r="GG19" s="374"/>
      <c r="GH19" s="374"/>
      <c r="GI19" s="374"/>
      <c r="GJ19" s="374"/>
      <c r="GK19" s="374"/>
      <c r="GL19" s="374"/>
      <c r="GM19" s="374"/>
      <c r="GN19" s="374"/>
      <c r="GO19" s="374"/>
      <c r="GP19" s="374"/>
      <c r="GQ19" s="374"/>
      <c r="GR19" s="374"/>
      <c r="GS19" s="374"/>
      <c r="GT19" s="374"/>
      <c r="GU19" s="374"/>
      <c r="GV19" s="374"/>
      <c r="GW19" s="374"/>
      <c r="GX19" s="374"/>
      <c r="GY19" s="374"/>
      <c r="GZ19" s="374"/>
      <c r="HA19" s="374"/>
      <c r="HB19" s="374"/>
      <c r="HC19" s="374"/>
      <c r="HD19" s="374"/>
      <c r="HE19" s="374"/>
      <c r="HF19" s="374"/>
      <c r="HG19" s="374"/>
      <c r="HH19" s="374"/>
      <c r="HI19" s="374"/>
      <c r="HJ19" s="374"/>
      <c r="HK19" s="374"/>
      <c r="HL19" s="374"/>
      <c r="HM19" s="374"/>
      <c r="HN19" s="374"/>
      <c r="HO19" s="374"/>
      <c r="HP19" s="374"/>
      <c r="HQ19" s="374"/>
      <c r="HR19" s="374"/>
      <c r="HS19" s="374"/>
      <c r="HT19" s="374"/>
      <c r="HU19" s="374"/>
      <c r="HV19" s="374"/>
      <c r="HW19" s="374"/>
      <c r="HX19" s="374"/>
      <c r="HY19" s="374"/>
      <c r="HZ19" s="374"/>
      <c r="IA19" s="374"/>
      <c r="IB19" s="374"/>
      <c r="IC19" s="374"/>
      <c r="ID19" s="374"/>
      <c r="IE19" s="374"/>
      <c r="IF19" s="374"/>
      <c r="IG19" s="374"/>
      <c r="IH19" s="374"/>
      <c r="II19" s="374"/>
      <c r="IJ19" s="374"/>
      <c r="IK19" s="374"/>
      <c r="IL19" s="374"/>
      <c r="IM19" s="374"/>
      <c r="IN19" s="374"/>
      <c r="IO19" s="374"/>
      <c r="IP19" s="374"/>
      <c r="IQ19" s="374"/>
      <c r="IR19" s="374"/>
      <c r="IS19" s="374"/>
      <c r="IT19" s="374"/>
      <c r="IU19" s="374"/>
    </row>
    <row r="20" ht="15.75">
      <c r="AB20" s="457"/>
    </row>
  </sheetData>
  <sheetProtection/>
  <mergeCells count="13">
    <mergeCell ref="A1:AB1"/>
    <mergeCell ref="A2:AE2"/>
    <mergeCell ref="A4:AB4"/>
    <mergeCell ref="A6:A7"/>
    <mergeCell ref="C6:I6"/>
    <mergeCell ref="J6:P6"/>
    <mergeCell ref="Q6:Z6"/>
    <mergeCell ref="AA6:AA7"/>
    <mergeCell ref="A3:AE3"/>
    <mergeCell ref="AB6:AB7"/>
    <mergeCell ref="AC6:AC7"/>
    <mergeCell ref="AD6:AD7"/>
    <mergeCell ref="AE6:AE7"/>
  </mergeCells>
  <printOptions/>
  <pageMargins left="0.15748031496062992" right="0.15748031496062992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24.125" style="458" customWidth="1"/>
    <col min="2" max="2" width="12.125" style="458" customWidth="1"/>
    <col min="3" max="3" width="15.00390625" style="458" customWidth="1"/>
    <col min="4" max="4" width="17.125" style="458" customWidth="1"/>
    <col min="5" max="5" width="19.00390625" style="458" customWidth="1"/>
    <col min="6" max="6" width="18.75390625" style="458" customWidth="1"/>
    <col min="7" max="7" width="19.00390625" style="458" customWidth="1"/>
    <col min="8" max="8" width="19.25390625" style="458" customWidth="1"/>
    <col min="9" max="16384" width="9.125" style="458" customWidth="1"/>
  </cols>
  <sheetData>
    <row r="1" spans="1:8" ht="18.75">
      <c r="A1" s="1455" t="s">
        <v>463</v>
      </c>
      <c r="B1" s="1455"/>
      <c r="C1" s="1455"/>
      <c r="D1" s="1455"/>
      <c r="E1" s="1455"/>
      <c r="F1" s="1455"/>
      <c r="G1" s="1455"/>
      <c r="H1" s="1455"/>
    </row>
    <row r="2" spans="1:8" ht="77.25" customHeight="1">
      <c r="A2" s="1456" t="s">
        <v>509</v>
      </c>
      <c r="B2" s="1456"/>
      <c r="C2" s="1456"/>
      <c r="D2" s="1456"/>
      <c r="E2" s="1456"/>
      <c r="F2" s="1456"/>
      <c r="G2" s="1456"/>
      <c r="H2" s="1456"/>
    </row>
    <row r="3" spans="7:8" ht="16.5" thickBot="1">
      <c r="G3" s="1457" t="s">
        <v>175</v>
      </c>
      <c r="H3" s="1457"/>
    </row>
    <row r="4" spans="1:8" ht="27.75" customHeight="1" thickBot="1">
      <c r="A4" s="1458" t="s">
        <v>29</v>
      </c>
      <c r="B4" s="1461" t="s">
        <v>308</v>
      </c>
      <c r="C4" s="1463" t="s">
        <v>309</v>
      </c>
      <c r="D4" s="1464"/>
      <c r="E4" s="1464"/>
      <c r="F4" s="1464"/>
      <c r="G4" s="1464"/>
      <c r="H4" s="1465"/>
    </row>
    <row r="5" spans="1:8" ht="165">
      <c r="A5" s="1459"/>
      <c r="B5" s="1462"/>
      <c r="C5" s="461" t="s">
        <v>310</v>
      </c>
      <c r="D5" s="462" t="s">
        <v>311</v>
      </c>
      <c r="E5" s="463" t="s">
        <v>312</v>
      </c>
      <c r="F5" s="464" t="s">
        <v>313</v>
      </c>
      <c r="G5" s="465" t="s">
        <v>314</v>
      </c>
      <c r="H5" s="466" t="s">
        <v>315</v>
      </c>
    </row>
    <row r="6" spans="1:8" ht="15.75" thickBot="1">
      <c r="A6" s="1460"/>
      <c r="B6" s="467" t="s">
        <v>316</v>
      </c>
      <c r="C6" s="468" t="s">
        <v>261</v>
      </c>
      <c r="D6" s="469" t="s">
        <v>261</v>
      </c>
      <c r="E6" s="470" t="s">
        <v>261</v>
      </c>
      <c r="F6" s="471" t="s">
        <v>139</v>
      </c>
      <c r="G6" s="472" t="s">
        <v>139</v>
      </c>
      <c r="H6" s="473" t="s">
        <v>139</v>
      </c>
    </row>
    <row r="7" spans="1:8" ht="15">
      <c r="A7" s="474" t="s">
        <v>39</v>
      </c>
      <c r="B7" s="475">
        <v>2</v>
      </c>
      <c r="C7" s="476">
        <v>1050</v>
      </c>
      <c r="D7" s="477">
        <v>7350</v>
      </c>
      <c r="E7" s="478">
        <v>1050</v>
      </c>
      <c r="F7" s="479">
        <v>150</v>
      </c>
      <c r="G7" s="480">
        <v>157.5</v>
      </c>
      <c r="H7" s="481">
        <f>G7</f>
        <v>157.5</v>
      </c>
    </row>
    <row r="8" spans="1:8" ht="30">
      <c r="A8" s="705" t="s">
        <v>483</v>
      </c>
      <c r="B8" s="483">
        <v>2</v>
      </c>
      <c r="C8" s="484">
        <v>1050</v>
      </c>
      <c r="D8" s="485">
        <v>7350</v>
      </c>
      <c r="E8" s="486">
        <v>1050</v>
      </c>
      <c r="F8" s="487">
        <v>150</v>
      </c>
      <c r="G8" s="488">
        <v>157.5</v>
      </c>
      <c r="H8" s="489">
        <f>G8</f>
        <v>157.5</v>
      </c>
    </row>
    <row r="9" spans="1:8" ht="30">
      <c r="A9" s="705" t="s">
        <v>478</v>
      </c>
      <c r="B9" s="483">
        <v>1</v>
      </c>
      <c r="C9" s="484">
        <v>1050</v>
      </c>
      <c r="D9" s="485">
        <v>7350</v>
      </c>
      <c r="E9" s="486">
        <v>525</v>
      </c>
      <c r="F9" s="487">
        <v>75</v>
      </c>
      <c r="G9" s="488">
        <v>78.7</v>
      </c>
      <c r="H9" s="489">
        <f>G9</f>
        <v>78.7</v>
      </c>
    </row>
    <row r="10" spans="1:8" ht="15">
      <c r="A10" s="482" t="s">
        <v>138</v>
      </c>
      <c r="B10" s="483">
        <v>1</v>
      </c>
      <c r="C10" s="484">
        <v>1050</v>
      </c>
      <c r="D10" s="485">
        <v>7350</v>
      </c>
      <c r="E10" s="486">
        <v>525</v>
      </c>
      <c r="F10" s="487">
        <v>75</v>
      </c>
      <c r="G10" s="488">
        <v>78.8</v>
      </c>
      <c r="H10" s="489">
        <f aca="true" t="shared" si="0" ref="H10:H15">G10</f>
        <v>78.8</v>
      </c>
    </row>
    <row r="11" spans="1:8" ht="15">
      <c r="A11" s="482" t="s">
        <v>1</v>
      </c>
      <c r="B11" s="483">
        <v>2</v>
      </c>
      <c r="C11" s="484">
        <v>1050</v>
      </c>
      <c r="D11" s="485">
        <v>7350</v>
      </c>
      <c r="E11" s="486">
        <v>1050</v>
      </c>
      <c r="F11" s="487">
        <v>150</v>
      </c>
      <c r="G11" s="488">
        <v>157.5</v>
      </c>
      <c r="H11" s="489">
        <f t="shared" si="0"/>
        <v>157.5</v>
      </c>
    </row>
    <row r="12" spans="1:8" ht="15">
      <c r="A12" s="482" t="s">
        <v>36</v>
      </c>
      <c r="B12" s="483">
        <v>2</v>
      </c>
      <c r="C12" s="484">
        <v>1050</v>
      </c>
      <c r="D12" s="485">
        <v>7350</v>
      </c>
      <c r="E12" s="486">
        <v>1050</v>
      </c>
      <c r="F12" s="487">
        <v>150</v>
      </c>
      <c r="G12" s="488">
        <v>157.5</v>
      </c>
      <c r="H12" s="489">
        <f t="shared" si="0"/>
        <v>157.5</v>
      </c>
    </row>
    <row r="13" spans="1:8" ht="15">
      <c r="A13" s="482" t="s">
        <v>31</v>
      </c>
      <c r="B13" s="483">
        <v>1</v>
      </c>
      <c r="C13" s="484">
        <v>1050</v>
      </c>
      <c r="D13" s="485">
        <v>7350</v>
      </c>
      <c r="E13" s="486">
        <v>525</v>
      </c>
      <c r="F13" s="487">
        <v>75</v>
      </c>
      <c r="G13" s="488">
        <v>78.8</v>
      </c>
      <c r="H13" s="489">
        <f t="shared" si="0"/>
        <v>78.8</v>
      </c>
    </row>
    <row r="14" spans="1:8" ht="15">
      <c r="A14" s="482" t="s">
        <v>32</v>
      </c>
      <c r="B14" s="483">
        <v>2</v>
      </c>
      <c r="C14" s="484">
        <v>1050</v>
      </c>
      <c r="D14" s="485">
        <v>7350</v>
      </c>
      <c r="E14" s="486">
        <v>1050</v>
      </c>
      <c r="F14" s="487">
        <v>150</v>
      </c>
      <c r="G14" s="488">
        <v>157.5</v>
      </c>
      <c r="H14" s="489">
        <f t="shared" si="0"/>
        <v>157.5</v>
      </c>
    </row>
    <row r="15" spans="1:8" ht="15.75" thickBot="1">
      <c r="A15" s="490" t="s">
        <v>33</v>
      </c>
      <c r="B15" s="491">
        <v>1</v>
      </c>
      <c r="C15" s="484">
        <v>1050</v>
      </c>
      <c r="D15" s="485">
        <v>7350</v>
      </c>
      <c r="E15" s="492">
        <v>525</v>
      </c>
      <c r="F15" s="493">
        <v>75</v>
      </c>
      <c r="G15" s="494">
        <v>78.7</v>
      </c>
      <c r="H15" s="489">
        <f t="shared" si="0"/>
        <v>78.7</v>
      </c>
    </row>
    <row r="16" spans="1:8" ht="20.25" customHeight="1" thickBot="1">
      <c r="A16" s="495" t="s">
        <v>37</v>
      </c>
      <c r="B16" s="496">
        <f>SUM(B7:B15)</f>
        <v>14</v>
      </c>
      <c r="C16" s="497"/>
      <c r="D16" s="498"/>
      <c r="E16" s="499"/>
      <c r="F16" s="500">
        <f>SUM(F7:F15)</f>
        <v>1050</v>
      </c>
      <c r="G16" s="500">
        <f>SUM(G7:G15)</f>
        <v>1102.5</v>
      </c>
      <c r="H16" s="501">
        <f>SUM(H7:H15)</f>
        <v>1102.5</v>
      </c>
    </row>
  </sheetData>
  <sheetProtection/>
  <mergeCells count="6">
    <mergeCell ref="A1:H1"/>
    <mergeCell ref="A2:H2"/>
    <mergeCell ref="G3:H3"/>
    <mergeCell ref="A4:A6"/>
    <mergeCell ref="B4:B5"/>
    <mergeCell ref="C4:H4"/>
  </mergeCells>
  <printOptions/>
  <pageMargins left="0.28" right="0.31" top="0.7480314960629921" bottom="0.4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20.75390625" style="458" customWidth="1"/>
    <col min="2" max="2" width="15.00390625" style="458" customWidth="1"/>
    <col min="3" max="3" width="18.125" style="458" customWidth="1"/>
    <col min="4" max="4" width="23.25390625" style="458" customWidth="1"/>
    <col min="5" max="5" width="18.375" style="458" customWidth="1"/>
    <col min="6" max="6" width="19.75390625" style="458" customWidth="1"/>
    <col min="7" max="7" width="18.625" style="458" customWidth="1"/>
    <col min="8" max="16384" width="9.125" style="458" customWidth="1"/>
  </cols>
  <sheetData>
    <row r="1" spans="1:7" ht="19.5" customHeight="1">
      <c r="A1" s="1471" t="s">
        <v>463</v>
      </c>
      <c r="B1" s="1471"/>
      <c r="C1" s="1471"/>
      <c r="D1" s="1471"/>
      <c r="E1" s="1471"/>
      <c r="F1" s="1471"/>
      <c r="G1" s="1471"/>
    </row>
    <row r="2" spans="1:7" s="502" customFormat="1" ht="98.25" customHeight="1">
      <c r="A2" s="1456" t="s">
        <v>506</v>
      </c>
      <c r="B2" s="1456"/>
      <c r="C2" s="1456"/>
      <c r="D2" s="1456"/>
      <c r="E2" s="1456"/>
      <c r="F2" s="1456"/>
      <c r="G2" s="1456"/>
    </row>
    <row r="3" spans="1:7" s="502" customFormat="1" ht="12" customHeight="1">
      <c r="A3" s="517"/>
      <c r="B3" s="517"/>
      <c r="C3" s="517"/>
      <c r="D3" s="517"/>
      <c r="E3" s="517"/>
      <c r="F3" s="517"/>
      <c r="G3" s="517"/>
    </row>
    <row r="4" spans="7:8" ht="15.75" thickBot="1">
      <c r="G4" s="516" t="s">
        <v>175</v>
      </c>
      <c r="H4" s="460"/>
    </row>
    <row r="5" spans="1:7" ht="36.75" customHeight="1" thickBot="1">
      <c r="A5" s="1466" t="s">
        <v>29</v>
      </c>
      <c r="B5" s="1468" t="s">
        <v>317</v>
      </c>
      <c r="C5" s="1468"/>
      <c r="D5" s="1468"/>
      <c r="E5" s="1469"/>
      <c r="F5" s="1469"/>
      <c r="G5" s="1470"/>
    </row>
    <row r="6" spans="1:7" ht="146.25" customHeight="1">
      <c r="A6" s="1467"/>
      <c r="B6" s="462" t="s">
        <v>310</v>
      </c>
      <c r="C6" s="462" t="s">
        <v>318</v>
      </c>
      <c r="D6" s="463" t="s">
        <v>319</v>
      </c>
      <c r="E6" s="503" t="s">
        <v>313</v>
      </c>
      <c r="F6" s="504" t="s">
        <v>320</v>
      </c>
      <c r="G6" s="504" t="s">
        <v>321</v>
      </c>
    </row>
    <row r="7" spans="1:7" ht="15.75" customHeight="1">
      <c r="A7" s="505"/>
      <c r="B7" s="506" t="s">
        <v>140</v>
      </c>
      <c r="C7" s="506" t="s">
        <v>140</v>
      </c>
      <c r="D7" s="507" t="s">
        <v>140</v>
      </c>
      <c r="E7" s="508" t="s">
        <v>140</v>
      </c>
      <c r="F7" s="509" t="s">
        <v>140</v>
      </c>
      <c r="G7" s="509" t="s">
        <v>140</v>
      </c>
    </row>
    <row r="8" spans="1:7" ht="20.25" customHeight="1">
      <c r="A8" s="801" t="s">
        <v>39</v>
      </c>
      <c r="B8" s="506"/>
      <c r="C8" s="506"/>
      <c r="D8" s="507"/>
      <c r="E8" s="508"/>
      <c r="F8" s="522"/>
      <c r="G8" s="522">
        <v>2233.6</v>
      </c>
    </row>
    <row r="9" spans="1:7" ht="44.25" customHeight="1">
      <c r="A9" s="706" t="s">
        <v>478</v>
      </c>
      <c r="B9" s="518">
        <v>3276</v>
      </c>
      <c r="C9" s="518">
        <v>3345.9</v>
      </c>
      <c r="D9" s="143">
        <v>3345.9</v>
      </c>
      <c r="E9" s="519">
        <f>B9/C9*D9</f>
        <v>3276</v>
      </c>
      <c r="F9" s="520"/>
      <c r="G9" s="520"/>
    </row>
    <row r="10" spans="1:7" ht="19.5" customHeight="1" thickBot="1">
      <c r="A10" s="521" t="s">
        <v>0</v>
      </c>
      <c r="B10" s="506"/>
      <c r="C10" s="506"/>
      <c r="D10" s="507"/>
      <c r="E10" s="508"/>
      <c r="F10" s="522">
        <v>2233.6</v>
      </c>
      <c r="G10" s="522"/>
    </row>
    <row r="11" spans="1:7" s="502" customFormat="1" ht="24" customHeight="1" thickBot="1">
      <c r="A11" s="510" t="s">
        <v>37</v>
      </c>
      <c r="B11" s="511"/>
      <c r="C11" s="512"/>
      <c r="D11" s="513"/>
      <c r="E11" s="514">
        <f>SUM(E8:E10)</f>
        <v>3276</v>
      </c>
      <c r="F11" s="514">
        <f>SUM(F8:F10)</f>
        <v>2233.6</v>
      </c>
      <c r="G11" s="515">
        <f>SUM(G8:G10)</f>
        <v>2233.6</v>
      </c>
    </row>
  </sheetData>
  <sheetProtection/>
  <mergeCells count="4">
    <mergeCell ref="A2:G2"/>
    <mergeCell ref="A5:A6"/>
    <mergeCell ref="B5:G5"/>
    <mergeCell ref="A1:G1"/>
  </mergeCells>
  <printOptions horizontalCentered="1"/>
  <pageMargins left="0.41" right="0.45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28"/>
  <sheetViews>
    <sheetView view="pageBreakPreview" zoomScale="87" zoomScaleSheetLayoutView="87" zoomScalePageLayoutView="0" workbookViewId="0" topLeftCell="A10">
      <selection activeCell="J15" sqref="J15"/>
    </sheetView>
  </sheetViews>
  <sheetFormatPr defaultColWidth="9.00390625" defaultRowHeight="12.75"/>
  <cols>
    <col min="1" max="1" width="18.625" style="354" customWidth="1"/>
    <col min="2" max="2" width="36.375" style="354" customWidth="1"/>
    <col min="3" max="3" width="8.125" style="354" customWidth="1"/>
    <col min="4" max="4" width="15.00390625" style="354" customWidth="1"/>
    <col min="5" max="5" width="15.875" style="354" customWidth="1"/>
    <col min="6" max="6" width="14.375" style="354" customWidth="1"/>
    <col min="7" max="7" width="13.00390625" style="354" customWidth="1"/>
    <col min="8" max="8" width="15.625" style="354" customWidth="1"/>
    <col min="9" max="9" width="16.125" style="354" customWidth="1"/>
    <col min="10" max="10" width="14.00390625" style="354" customWidth="1"/>
    <col min="11" max="11" width="13.875" style="354" customWidth="1"/>
    <col min="12" max="12" width="13.25390625" style="354" customWidth="1"/>
    <col min="13" max="13" width="15.375" style="354" customWidth="1"/>
    <col min="14" max="14" width="14.25390625" style="354" customWidth="1"/>
    <col min="15" max="15" width="14.125" style="354" customWidth="1"/>
    <col min="16" max="16" width="13.875" style="354" customWidth="1"/>
    <col min="17" max="18" width="14.00390625" style="354" customWidth="1"/>
    <col min="19" max="19" width="11.875" style="354" customWidth="1"/>
    <col min="20" max="20" width="15.25390625" style="354" customWidth="1"/>
    <col min="21" max="21" width="18.75390625" style="354" customWidth="1"/>
    <col min="22" max="22" width="11.00390625" style="354" customWidth="1"/>
    <col min="23" max="23" width="17.375" style="354" customWidth="1"/>
    <col min="24" max="24" width="18.375" style="354" customWidth="1"/>
    <col min="25" max="25" width="11.625" style="354" customWidth="1"/>
    <col min="26" max="26" width="11.00390625" style="354" customWidth="1"/>
    <col min="27" max="27" width="13.125" style="354" customWidth="1"/>
    <col min="28" max="30" width="10.00390625" style="354" customWidth="1"/>
    <col min="31" max="31" width="10.875" style="354" customWidth="1"/>
    <col min="32" max="16384" width="9.125" style="354" customWidth="1"/>
  </cols>
  <sheetData>
    <row r="1" spans="1:26" ht="18.75">
      <c r="A1" s="1433" t="s">
        <v>274</v>
      </c>
      <c r="B1" s="1433"/>
      <c r="C1" s="1433"/>
      <c r="D1" s="1433"/>
      <c r="E1" s="1433"/>
      <c r="F1" s="1433"/>
      <c r="G1" s="1433"/>
      <c r="H1" s="1433"/>
      <c r="I1" s="1433"/>
      <c r="J1" s="1433"/>
      <c r="K1" s="1433"/>
      <c r="L1" s="1433"/>
      <c r="M1" s="1433"/>
      <c r="N1" s="1433"/>
      <c r="O1" s="1433"/>
      <c r="P1" s="1433"/>
      <c r="Q1" s="1433"/>
      <c r="R1" s="523"/>
      <c r="S1" s="524"/>
      <c r="T1" s="524"/>
      <c r="U1" s="524"/>
      <c r="V1" s="524"/>
      <c r="W1" s="524"/>
      <c r="X1" s="524"/>
      <c r="Y1" s="525"/>
      <c r="Z1" s="524"/>
    </row>
    <row r="2" spans="1:31" s="525" customFormat="1" ht="23.25" customHeight="1">
      <c r="A2" s="1290" t="s">
        <v>498</v>
      </c>
      <c r="B2" s="1290"/>
      <c r="C2" s="1290"/>
      <c r="D2" s="1290"/>
      <c r="E2" s="1290"/>
      <c r="F2" s="1290"/>
      <c r="G2" s="1290"/>
      <c r="H2" s="1290"/>
      <c r="I2" s="1290"/>
      <c r="J2" s="1290"/>
      <c r="K2" s="1290"/>
      <c r="L2" s="1290"/>
      <c r="M2" s="1290"/>
      <c r="N2" s="1290"/>
      <c r="O2" s="1290"/>
      <c r="P2" s="1290"/>
      <c r="Q2" s="1290"/>
      <c r="R2" s="526"/>
      <c r="S2" s="527"/>
      <c r="T2" s="527"/>
      <c r="U2" s="527"/>
      <c r="V2" s="527"/>
      <c r="W2" s="527"/>
      <c r="X2" s="527"/>
      <c r="Y2" s="528"/>
      <c r="Z2" s="527"/>
      <c r="AA2" s="309"/>
      <c r="AB2" s="309"/>
      <c r="AC2" s="309"/>
      <c r="AD2" s="309"/>
      <c r="AE2" s="309"/>
    </row>
    <row r="3" spans="1:31" s="525" customFormat="1" ht="18.75" customHeight="1">
      <c r="A3" s="1290" t="s">
        <v>499</v>
      </c>
      <c r="B3" s="1290"/>
      <c r="C3" s="1290"/>
      <c r="D3" s="1290"/>
      <c r="E3" s="1290"/>
      <c r="F3" s="1290"/>
      <c r="G3" s="1290"/>
      <c r="H3" s="1290"/>
      <c r="I3" s="1290"/>
      <c r="J3" s="1290"/>
      <c r="K3" s="1290"/>
      <c r="L3" s="1290"/>
      <c r="M3" s="1290"/>
      <c r="N3" s="1290"/>
      <c r="O3" s="1290"/>
      <c r="P3" s="1290"/>
      <c r="Q3" s="1290"/>
      <c r="R3" s="526"/>
      <c r="S3" s="527"/>
      <c r="T3" s="527"/>
      <c r="U3" s="527"/>
      <c r="V3" s="527"/>
      <c r="W3" s="527"/>
      <c r="X3" s="527"/>
      <c r="Y3" s="528"/>
      <c r="Z3" s="527"/>
      <c r="AA3" s="309"/>
      <c r="AB3" s="309"/>
      <c r="AC3" s="309"/>
      <c r="AD3" s="309"/>
      <c r="AE3" s="309"/>
    </row>
    <row r="4" spans="1:31" s="525" customFormat="1" ht="21" customHeight="1">
      <c r="A4" s="1290" t="s">
        <v>500</v>
      </c>
      <c r="B4" s="1290"/>
      <c r="C4" s="1290"/>
      <c r="D4" s="1290"/>
      <c r="E4" s="1290"/>
      <c r="F4" s="1290"/>
      <c r="G4" s="1290"/>
      <c r="H4" s="1290"/>
      <c r="I4" s="1290"/>
      <c r="J4" s="1290"/>
      <c r="K4" s="1290"/>
      <c r="L4" s="1290"/>
      <c r="M4" s="1290"/>
      <c r="N4" s="1290"/>
      <c r="O4" s="1290"/>
      <c r="P4" s="1290"/>
      <c r="Q4" s="1290"/>
      <c r="R4" s="526"/>
      <c r="S4" s="527"/>
      <c r="T4" s="527"/>
      <c r="U4" s="527"/>
      <c r="V4" s="527"/>
      <c r="W4" s="527"/>
      <c r="X4" s="527"/>
      <c r="Y4" s="528"/>
      <c r="Z4" s="527"/>
      <c r="AA4" s="309"/>
      <c r="AB4" s="309"/>
      <c r="AC4" s="309"/>
      <c r="AD4" s="309"/>
      <c r="AE4" s="309"/>
    </row>
    <row r="5" spans="1:31" s="525" customFormat="1" ht="21" customHeight="1">
      <c r="A5" s="707"/>
      <c r="B5" s="707"/>
      <c r="C5" s="707"/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707"/>
      <c r="Q5" s="707"/>
      <c r="R5" s="526"/>
      <c r="S5" s="527"/>
      <c r="T5" s="527"/>
      <c r="U5" s="527"/>
      <c r="V5" s="527"/>
      <c r="W5" s="527"/>
      <c r="X5" s="527"/>
      <c r="Y5" s="528"/>
      <c r="Z5" s="527"/>
      <c r="AA5" s="309"/>
      <c r="AB5" s="309"/>
      <c r="AC5" s="309"/>
      <c r="AD5" s="309"/>
      <c r="AE5" s="309"/>
    </row>
    <row r="6" spans="1:31" ht="15.75" thickBot="1">
      <c r="A6" s="1475"/>
      <c r="B6" s="1475"/>
      <c r="C6" s="1475"/>
      <c r="D6" s="1475"/>
      <c r="E6" s="1475"/>
      <c r="F6" s="1475"/>
      <c r="G6" s="1475"/>
      <c r="H6" s="1475"/>
      <c r="I6" s="1475"/>
      <c r="J6" s="1475"/>
      <c r="K6" s="1475"/>
      <c r="L6" s="1475"/>
      <c r="M6" s="524"/>
      <c r="N6" s="524"/>
      <c r="O6" s="524"/>
      <c r="P6" s="524"/>
      <c r="Q6" s="313" t="s">
        <v>261</v>
      </c>
      <c r="R6" s="524"/>
      <c r="S6" s="524"/>
      <c r="T6" s="524"/>
      <c r="U6" s="524"/>
      <c r="V6" s="524"/>
      <c r="W6" s="524"/>
      <c r="X6" s="524"/>
      <c r="Y6" s="524"/>
      <c r="Z6" s="524"/>
      <c r="AA6" s="524"/>
      <c r="AB6" s="524"/>
      <c r="AC6" s="524"/>
      <c r="AD6" s="524"/>
      <c r="AE6" s="524"/>
    </row>
    <row r="7" spans="1:256" ht="120.75" thickBot="1">
      <c r="A7" s="529" t="s">
        <v>29</v>
      </c>
      <c r="B7" s="529" t="s">
        <v>322</v>
      </c>
      <c r="C7" s="529" t="s">
        <v>323</v>
      </c>
      <c r="D7" s="530" t="s">
        <v>324</v>
      </c>
      <c r="E7" s="529" t="s">
        <v>325</v>
      </c>
      <c r="F7" s="529" t="s">
        <v>326</v>
      </c>
      <c r="G7" s="529" t="s">
        <v>327</v>
      </c>
      <c r="H7" s="529" t="s">
        <v>328</v>
      </c>
      <c r="I7" s="529" t="s">
        <v>329</v>
      </c>
      <c r="J7" s="529" t="s">
        <v>330</v>
      </c>
      <c r="K7" s="529" t="s">
        <v>331</v>
      </c>
      <c r="L7" s="529" t="s">
        <v>332</v>
      </c>
      <c r="M7" s="529" t="s">
        <v>333</v>
      </c>
      <c r="N7" s="529" t="s">
        <v>334</v>
      </c>
      <c r="O7" s="531" t="s">
        <v>335</v>
      </c>
      <c r="P7" s="531" t="s">
        <v>336</v>
      </c>
      <c r="Q7" s="531" t="s">
        <v>337</v>
      </c>
      <c r="R7" s="532"/>
      <c r="S7" s="532"/>
      <c r="T7" s="532"/>
      <c r="U7" s="532"/>
      <c r="V7" s="532"/>
      <c r="W7" s="532"/>
      <c r="X7" s="532"/>
      <c r="Y7" s="532"/>
      <c r="Z7" s="532"/>
      <c r="AA7" s="532"/>
      <c r="AB7" s="532"/>
      <c r="AC7" s="532"/>
      <c r="AD7" s="532"/>
      <c r="AE7" s="532"/>
      <c r="AF7" s="532"/>
      <c r="AG7" s="532"/>
      <c r="AH7" s="532"/>
      <c r="AI7" s="532"/>
      <c r="AJ7" s="532"/>
      <c r="AK7" s="532"/>
      <c r="AL7" s="532"/>
      <c r="AM7" s="532"/>
      <c r="AN7" s="532"/>
      <c r="AO7" s="532"/>
      <c r="AP7" s="532"/>
      <c r="AQ7" s="532"/>
      <c r="AR7" s="532"/>
      <c r="AS7" s="532"/>
      <c r="AT7" s="532"/>
      <c r="AU7" s="532"/>
      <c r="AV7" s="532"/>
      <c r="AW7" s="532"/>
      <c r="AX7" s="532"/>
      <c r="AY7" s="532"/>
      <c r="AZ7" s="532"/>
      <c r="BA7" s="532"/>
      <c r="BB7" s="532"/>
      <c r="BC7" s="532"/>
      <c r="BD7" s="532"/>
      <c r="BE7" s="532"/>
      <c r="BF7" s="532"/>
      <c r="BG7" s="532"/>
      <c r="BH7" s="532"/>
      <c r="BI7" s="532"/>
      <c r="BJ7" s="532"/>
      <c r="BK7" s="532"/>
      <c r="BL7" s="532"/>
      <c r="BM7" s="532"/>
      <c r="BN7" s="532"/>
      <c r="BO7" s="532"/>
      <c r="BP7" s="532"/>
      <c r="BQ7" s="532"/>
      <c r="BR7" s="532"/>
      <c r="BS7" s="532"/>
      <c r="BT7" s="532"/>
      <c r="BU7" s="532"/>
      <c r="BV7" s="532"/>
      <c r="BW7" s="532"/>
      <c r="BX7" s="532"/>
      <c r="BY7" s="532"/>
      <c r="BZ7" s="532"/>
      <c r="CA7" s="532"/>
      <c r="CB7" s="532"/>
      <c r="CC7" s="532"/>
      <c r="CD7" s="532"/>
      <c r="CE7" s="532"/>
      <c r="CF7" s="532"/>
      <c r="CG7" s="532"/>
      <c r="CH7" s="532"/>
      <c r="CI7" s="532"/>
      <c r="CJ7" s="532"/>
      <c r="CK7" s="532"/>
      <c r="CL7" s="532"/>
      <c r="CM7" s="532"/>
      <c r="CN7" s="532"/>
      <c r="CO7" s="532"/>
      <c r="CP7" s="532"/>
      <c r="CQ7" s="532"/>
      <c r="CR7" s="532"/>
      <c r="CS7" s="532"/>
      <c r="CT7" s="532"/>
      <c r="CU7" s="532"/>
      <c r="CV7" s="532"/>
      <c r="CW7" s="532"/>
      <c r="CX7" s="532"/>
      <c r="CY7" s="532"/>
      <c r="CZ7" s="532"/>
      <c r="DA7" s="532"/>
      <c r="DB7" s="532"/>
      <c r="DC7" s="532"/>
      <c r="DD7" s="532"/>
      <c r="DE7" s="532"/>
      <c r="DF7" s="532"/>
      <c r="DG7" s="532"/>
      <c r="DH7" s="532"/>
      <c r="DI7" s="532"/>
      <c r="DJ7" s="532"/>
      <c r="DK7" s="532"/>
      <c r="DL7" s="532"/>
      <c r="DM7" s="532"/>
      <c r="DN7" s="532"/>
      <c r="DO7" s="532"/>
      <c r="DP7" s="532"/>
      <c r="DQ7" s="532"/>
      <c r="DR7" s="532"/>
      <c r="DS7" s="532"/>
      <c r="DT7" s="532"/>
      <c r="DU7" s="532"/>
      <c r="DV7" s="532"/>
      <c r="DW7" s="532"/>
      <c r="DX7" s="532"/>
      <c r="DY7" s="532"/>
      <c r="DZ7" s="532"/>
      <c r="EA7" s="532"/>
      <c r="EB7" s="532"/>
      <c r="EC7" s="532"/>
      <c r="ED7" s="532"/>
      <c r="EE7" s="532"/>
      <c r="EF7" s="532"/>
      <c r="EG7" s="532"/>
      <c r="EH7" s="532"/>
      <c r="EI7" s="532"/>
      <c r="EJ7" s="532"/>
      <c r="EK7" s="532"/>
      <c r="EL7" s="532"/>
      <c r="EM7" s="532"/>
      <c r="EN7" s="532"/>
      <c r="EO7" s="532"/>
      <c r="EP7" s="532"/>
      <c r="EQ7" s="532"/>
      <c r="ER7" s="532"/>
      <c r="ES7" s="532"/>
      <c r="ET7" s="532"/>
      <c r="EU7" s="532"/>
      <c r="EV7" s="532"/>
      <c r="EW7" s="532"/>
      <c r="EX7" s="532"/>
      <c r="EY7" s="532"/>
      <c r="EZ7" s="532"/>
      <c r="FA7" s="532"/>
      <c r="FB7" s="532"/>
      <c r="FC7" s="532"/>
      <c r="FD7" s="532"/>
      <c r="FE7" s="532"/>
      <c r="FF7" s="532"/>
      <c r="FG7" s="532"/>
      <c r="FH7" s="532"/>
      <c r="FI7" s="532"/>
      <c r="FJ7" s="532"/>
      <c r="FK7" s="532"/>
      <c r="FL7" s="532"/>
      <c r="FM7" s="532"/>
      <c r="FN7" s="532"/>
      <c r="FO7" s="532"/>
      <c r="FP7" s="532"/>
      <c r="FQ7" s="532"/>
      <c r="FR7" s="532"/>
      <c r="FS7" s="532"/>
      <c r="FT7" s="532"/>
      <c r="FU7" s="532"/>
      <c r="FV7" s="532"/>
      <c r="FW7" s="532"/>
      <c r="FX7" s="532"/>
      <c r="FY7" s="532"/>
      <c r="FZ7" s="532"/>
      <c r="GA7" s="532"/>
      <c r="GB7" s="532"/>
      <c r="GC7" s="532"/>
      <c r="GD7" s="532"/>
      <c r="GE7" s="532"/>
      <c r="GF7" s="532"/>
      <c r="GG7" s="532"/>
      <c r="GH7" s="532"/>
      <c r="GI7" s="532"/>
      <c r="GJ7" s="532"/>
      <c r="GK7" s="532"/>
      <c r="GL7" s="532"/>
      <c r="GM7" s="532"/>
      <c r="GN7" s="532"/>
      <c r="GO7" s="532"/>
      <c r="GP7" s="532"/>
      <c r="GQ7" s="532"/>
      <c r="GR7" s="532"/>
      <c r="GS7" s="532"/>
      <c r="GT7" s="532"/>
      <c r="GU7" s="532"/>
      <c r="GV7" s="532"/>
      <c r="GW7" s="532"/>
      <c r="GX7" s="532"/>
      <c r="GY7" s="532"/>
      <c r="GZ7" s="532"/>
      <c r="HA7" s="532"/>
      <c r="HB7" s="532"/>
      <c r="HC7" s="532"/>
      <c r="HD7" s="532"/>
      <c r="HE7" s="532"/>
      <c r="HF7" s="532"/>
      <c r="HG7" s="532"/>
      <c r="HH7" s="532"/>
      <c r="HI7" s="532"/>
      <c r="HJ7" s="532"/>
      <c r="HK7" s="532"/>
      <c r="HL7" s="532"/>
      <c r="HM7" s="532"/>
      <c r="HN7" s="532"/>
      <c r="HO7" s="532"/>
      <c r="HP7" s="532"/>
      <c r="HQ7" s="532"/>
      <c r="HR7" s="532"/>
      <c r="HS7" s="532"/>
      <c r="HT7" s="532"/>
      <c r="HU7" s="532"/>
      <c r="HV7" s="532"/>
      <c r="HW7" s="532"/>
      <c r="HX7" s="532"/>
      <c r="HY7" s="532"/>
      <c r="HZ7" s="532"/>
      <c r="IA7" s="532"/>
      <c r="IB7" s="532"/>
      <c r="IC7" s="532"/>
      <c r="ID7" s="532"/>
      <c r="IE7" s="532"/>
      <c r="IF7" s="532"/>
      <c r="IG7" s="532"/>
      <c r="IH7" s="532"/>
      <c r="II7" s="532"/>
      <c r="IJ7" s="532"/>
      <c r="IK7" s="532"/>
      <c r="IL7" s="532"/>
      <c r="IM7" s="532"/>
      <c r="IN7" s="532"/>
      <c r="IO7" s="532"/>
      <c r="IP7" s="532"/>
      <c r="IQ7" s="532"/>
      <c r="IR7" s="532"/>
      <c r="IS7" s="532"/>
      <c r="IT7" s="532"/>
      <c r="IU7" s="532"/>
      <c r="IV7" s="532"/>
    </row>
    <row r="8" spans="1:256" ht="15.75" thickBot="1">
      <c r="A8" s="533">
        <v>1</v>
      </c>
      <c r="B8" s="533">
        <v>2</v>
      </c>
      <c r="C8" s="533">
        <v>3</v>
      </c>
      <c r="D8" s="533">
        <v>4</v>
      </c>
      <c r="E8" s="533">
        <v>5</v>
      </c>
      <c r="F8" s="533">
        <v>6</v>
      </c>
      <c r="G8" s="533">
        <v>7</v>
      </c>
      <c r="H8" s="533">
        <v>8</v>
      </c>
      <c r="I8" s="533">
        <v>9</v>
      </c>
      <c r="J8" s="533">
        <v>10</v>
      </c>
      <c r="K8" s="533">
        <v>11</v>
      </c>
      <c r="L8" s="533">
        <v>12</v>
      </c>
      <c r="M8" s="533">
        <v>13</v>
      </c>
      <c r="N8" s="533">
        <v>14</v>
      </c>
      <c r="O8" s="533">
        <v>15</v>
      </c>
      <c r="P8" s="534">
        <v>16</v>
      </c>
      <c r="Q8" s="535">
        <v>17</v>
      </c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  <c r="IH8" s="144"/>
      <c r="II8" s="144"/>
      <c r="IJ8" s="144"/>
      <c r="IK8" s="144"/>
      <c r="IL8" s="144"/>
      <c r="IM8" s="144"/>
      <c r="IN8" s="144"/>
      <c r="IO8" s="144"/>
      <c r="IP8" s="144"/>
      <c r="IQ8" s="144"/>
      <c r="IR8" s="144"/>
      <c r="IS8" s="144"/>
      <c r="IT8" s="144"/>
      <c r="IU8" s="144"/>
      <c r="IV8" s="144"/>
    </row>
    <row r="9" spans="1:256" ht="18.75" customHeight="1" hidden="1" thickBot="1">
      <c r="A9" s="1476" t="s">
        <v>338</v>
      </c>
      <c r="B9" s="1477"/>
      <c r="C9" s="1477"/>
      <c r="D9" s="1477"/>
      <c r="E9" s="1477"/>
      <c r="F9" s="1477"/>
      <c r="G9" s="1477"/>
      <c r="H9" s="1477"/>
      <c r="I9" s="1477"/>
      <c r="J9" s="1477"/>
      <c r="K9" s="1477"/>
      <c r="L9" s="1477"/>
      <c r="M9" s="1477"/>
      <c r="N9" s="1477"/>
      <c r="O9" s="1477"/>
      <c r="P9" s="536"/>
      <c r="Q9" s="537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  <c r="IH9" s="144"/>
      <c r="II9" s="144"/>
      <c r="IJ9" s="144"/>
      <c r="IK9" s="144"/>
      <c r="IL9" s="144"/>
      <c r="IM9" s="144"/>
      <c r="IN9" s="144"/>
      <c r="IO9" s="144"/>
      <c r="IP9" s="144"/>
      <c r="IQ9" s="144"/>
      <c r="IR9" s="144"/>
      <c r="IS9" s="144"/>
      <c r="IT9" s="144"/>
      <c r="IU9" s="144"/>
      <c r="IV9" s="144"/>
    </row>
    <row r="10" spans="1:256" ht="31.5" customHeight="1" thickBot="1">
      <c r="A10" s="1472" t="s">
        <v>35</v>
      </c>
      <c r="B10" s="538" t="s">
        <v>339</v>
      </c>
      <c r="C10" s="539">
        <f>SUM(C11:C12)</f>
        <v>5827</v>
      </c>
      <c r="D10" s="540"/>
      <c r="E10" s="540"/>
      <c r="F10" s="540"/>
      <c r="G10" s="541"/>
      <c r="H10" s="540"/>
      <c r="I10" s="540"/>
      <c r="J10" s="540"/>
      <c r="K10" s="540"/>
      <c r="L10" s="540"/>
      <c r="M10" s="731">
        <f>SUM(M11:M12)</f>
        <v>762226.9545</v>
      </c>
      <c r="N10" s="732">
        <f>SUM(N11:N12)</f>
        <v>53369.710399999996</v>
      </c>
      <c r="O10" s="661">
        <f>SUM(O11:O12)</f>
        <v>815596.7</v>
      </c>
      <c r="P10" s="758">
        <v>940235.4851500001</v>
      </c>
      <c r="Q10" s="759">
        <v>1038397.4</v>
      </c>
      <c r="R10" s="543"/>
      <c r="S10" s="543"/>
      <c r="T10" s="543"/>
      <c r="U10" s="543"/>
      <c r="V10" s="543"/>
      <c r="W10" s="543"/>
      <c r="X10" s="543"/>
      <c r="Y10" s="543"/>
      <c r="Z10" s="543"/>
      <c r="AA10" s="543"/>
      <c r="AB10" s="543"/>
      <c r="AC10" s="543"/>
      <c r="AD10" s="543"/>
      <c r="AE10" s="543"/>
      <c r="AF10" s="543"/>
      <c r="AG10" s="543"/>
      <c r="AH10" s="543"/>
      <c r="AI10" s="543"/>
      <c r="AJ10" s="543"/>
      <c r="AK10" s="543"/>
      <c r="AL10" s="543"/>
      <c r="AM10" s="543"/>
      <c r="AN10" s="543"/>
      <c r="AO10" s="543"/>
      <c r="AP10" s="543"/>
      <c r="AQ10" s="543"/>
      <c r="AR10" s="543"/>
      <c r="AS10" s="543"/>
      <c r="AT10" s="543"/>
      <c r="AU10" s="543"/>
      <c r="AV10" s="543"/>
      <c r="AW10" s="543"/>
      <c r="AX10" s="543"/>
      <c r="AY10" s="543"/>
      <c r="AZ10" s="543"/>
      <c r="BA10" s="543"/>
      <c r="BB10" s="543"/>
      <c r="BC10" s="543"/>
      <c r="BD10" s="543"/>
      <c r="BE10" s="543"/>
      <c r="BF10" s="543"/>
      <c r="BG10" s="543"/>
      <c r="BH10" s="543"/>
      <c r="BI10" s="543"/>
      <c r="BJ10" s="543"/>
      <c r="BK10" s="543"/>
      <c r="BL10" s="543"/>
      <c r="BM10" s="543"/>
      <c r="BN10" s="543"/>
      <c r="BO10" s="543"/>
      <c r="BP10" s="543"/>
      <c r="BQ10" s="543"/>
      <c r="BR10" s="543"/>
      <c r="BS10" s="543"/>
      <c r="BT10" s="543"/>
      <c r="BU10" s="543"/>
      <c r="BV10" s="543"/>
      <c r="BW10" s="543"/>
      <c r="BX10" s="543"/>
      <c r="BY10" s="543"/>
      <c r="BZ10" s="543"/>
      <c r="CA10" s="543"/>
      <c r="CB10" s="543"/>
      <c r="CC10" s="543"/>
      <c r="CD10" s="543"/>
      <c r="CE10" s="543"/>
      <c r="CF10" s="543"/>
      <c r="CG10" s="543"/>
      <c r="CH10" s="543"/>
      <c r="CI10" s="543"/>
      <c r="CJ10" s="543"/>
      <c r="CK10" s="543"/>
      <c r="CL10" s="543"/>
      <c r="CM10" s="543"/>
      <c r="CN10" s="543"/>
      <c r="CO10" s="543"/>
      <c r="CP10" s="543"/>
      <c r="CQ10" s="543"/>
      <c r="CR10" s="543"/>
      <c r="CS10" s="543"/>
      <c r="CT10" s="543"/>
      <c r="CU10" s="543"/>
      <c r="CV10" s="543"/>
      <c r="CW10" s="543"/>
      <c r="CX10" s="543"/>
      <c r="CY10" s="543"/>
      <c r="CZ10" s="543"/>
      <c r="DA10" s="543"/>
      <c r="DB10" s="543"/>
      <c r="DC10" s="543"/>
      <c r="DD10" s="543"/>
      <c r="DE10" s="543"/>
      <c r="DF10" s="543"/>
      <c r="DG10" s="543"/>
      <c r="DH10" s="543"/>
      <c r="DI10" s="543"/>
      <c r="DJ10" s="543"/>
      <c r="DK10" s="543"/>
      <c r="DL10" s="543"/>
      <c r="DM10" s="543"/>
      <c r="DN10" s="543"/>
      <c r="DO10" s="543"/>
      <c r="DP10" s="543"/>
      <c r="DQ10" s="543"/>
      <c r="DR10" s="543"/>
      <c r="DS10" s="543"/>
      <c r="DT10" s="543"/>
      <c r="DU10" s="543"/>
      <c r="DV10" s="543"/>
      <c r="DW10" s="543"/>
      <c r="DX10" s="543"/>
      <c r="DY10" s="543"/>
      <c r="DZ10" s="543"/>
      <c r="EA10" s="543"/>
      <c r="EB10" s="543"/>
      <c r="EC10" s="543"/>
      <c r="ED10" s="543"/>
      <c r="EE10" s="543"/>
      <c r="EF10" s="543"/>
      <c r="EG10" s="543"/>
      <c r="EH10" s="543"/>
      <c r="EI10" s="543"/>
      <c r="EJ10" s="543"/>
      <c r="EK10" s="543"/>
      <c r="EL10" s="543"/>
      <c r="EM10" s="543"/>
      <c r="EN10" s="543"/>
      <c r="EO10" s="543"/>
      <c r="EP10" s="543"/>
      <c r="EQ10" s="543"/>
      <c r="ER10" s="543"/>
      <c r="ES10" s="543"/>
      <c r="ET10" s="543"/>
      <c r="EU10" s="543"/>
      <c r="EV10" s="543"/>
      <c r="EW10" s="543"/>
      <c r="EX10" s="543"/>
      <c r="EY10" s="543"/>
      <c r="EZ10" s="543"/>
      <c r="FA10" s="543"/>
      <c r="FB10" s="543"/>
      <c r="FC10" s="543"/>
      <c r="FD10" s="543"/>
      <c r="FE10" s="543"/>
      <c r="FF10" s="543"/>
      <c r="FG10" s="543"/>
      <c r="FH10" s="543"/>
      <c r="FI10" s="543"/>
      <c r="FJ10" s="543"/>
      <c r="FK10" s="543"/>
      <c r="FL10" s="543"/>
      <c r="FM10" s="543"/>
      <c r="FN10" s="543"/>
      <c r="FO10" s="543"/>
      <c r="FP10" s="543"/>
      <c r="FQ10" s="543"/>
      <c r="FR10" s="543"/>
      <c r="FS10" s="543"/>
      <c r="FT10" s="543"/>
      <c r="FU10" s="543"/>
      <c r="FV10" s="543"/>
      <c r="FW10" s="543"/>
      <c r="FX10" s="543"/>
      <c r="FY10" s="543"/>
      <c r="FZ10" s="543"/>
      <c r="GA10" s="543"/>
      <c r="GB10" s="543"/>
      <c r="GC10" s="543"/>
      <c r="GD10" s="543"/>
      <c r="GE10" s="543"/>
      <c r="GF10" s="543"/>
      <c r="GG10" s="543"/>
      <c r="GH10" s="543"/>
      <c r="GI10" s="543"/>
      <c r="GJ10" s="543"/>
      <c r="GK10" s="543"/>
      <c r="GL10" s="543"/>
      <c r="GM10" s="543"/>
      <c r="GN10" s="543"/>
      <c r="GO10" s="543"/>
      <c r="GP10" s="543"/>
      <c r="GQ10" s="543"/>
      <c r="GR10" s="543"/>
      <c r="GS10" s="543"/>
      <c r="GT10" s="543"/>
      <c r="GU10" s="543"/>
      <c r="GV10" s="543"/>
      <c r="GW10" s="543"/>
      <c r="GX10" s="543"/>
      <c r="GY10" s="543"/>
      <c r="GZ10" s="543"/>
      <c r="HA10" s="543"/>
      <c r="HB10" s="543"/>
      <c r="HC10" s="543"/>
      <c r="HD10" s="543"/>
      <c r="HE10" s="543"/>
      <c r="HF10" s="543"/>
      <c r="HG10" s="543"/>
      <c r="HH10" s="543"/>
      <c r="HI10" s="543"/>
      <c r="HJ10" s="543"/>
      <c r="HK10" s="543"/>
      <c r="HL10" s="543"/>
      <c r="HM10" s="543"/>
      <c r="HN10" s="543"/>
      <c r="HO10" s="543"/>
      <c r="HP10" s="543"/>
      <c r="HQ10" s="543"/>
      <c r="HR10" s="543"/>
      <c r="HS10" s="543"/>
      <c r="HT10" s="543"/>
      <c r="HU10" s="543"/>
      <c r="HV10" s="543"/>
      <c r="HW10" s="543"/>
      <c r="HX10" s="543"/>
      <c r="HY10" s="543"/>
      <c r="HZ10" s="543"/>
      <c r="IA10" s="543"/>
      <c r="IB10" s="543"/>
      <c r="IC10" s="543"/>
      <c r="ID10" s="543"/>
      <c r="IE10" s="543"/>
      <c r="IF10" s="543"/>
      <c r="IG10" s="543"/>
      <c r="IH10" s="543"/>
      <c r="II10" s="543"/>
      <c r="IJ10" s="543"/>
      <c r="IK10" s="543"/>
      <c r="IL10" s="543"/>
      <c r="IM10" s="543"/>
      <c r="IN10" s="543"/>
      <c r="IO10" s="543"/>
      <c r="IP10" s="543"/>
      <c r="IQ10" s="543"/>
      <c r="IR10" s="543"/>
      <c r="IS10" s="543"/>
      <c r="IT10" s="543"/>
      <c r="IU10" s="543"/>
      <c r="IV10" s="543"/>
    </row>
    <row r="11" spans="1:256" ht="31.5" customHeight="1">
      <c r="A11" s="1473"/>
      <c r="B11" s="544" t="s">
        <v>340</v>
      </c>
      <c r="C11" s="545">
        <v>4364</v>
      </c>
      <c r="D11" s="546">
        <v>10890.15</v>
      </c>
      <c r="E11" s="546">
        <v>68538.73999999999</v>
      </c>
      <c r="F11" s="546">
        <v>15937.74225</v>
      </c>
      <c r="G11" s="546">
        <v>6596.832375</v>
      </c>
      <c r="H11" s="546">
        <v>3138.16275</v>
      </c>
      <c r="I11" s="546">
        <v>11201.297625000001</v>
      </c>
      <c r="J11" s="547"/>
      <c r="K11" s="548">
        <v>116.3</v>
      </c>
      <c r="L11" s="549">
        <v>8.14</v>
      </c>
      <c r="M11" s="733">
        <v>502677.8112</v>
      </c>
      <c r="N11" s="734">
        <v>35203.293</v>
      </c>
      <c r="O11" s="659">
        <v>537881.1</v>
      </c>
      <c r="P11" s="760">
        <v>663242.9773</v>
      </c>
      <c r="Q11" s="761">
        <v>741919</v>
      </c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  <c r="IM11" s="144"/>
      <c r="IN11" s="144"/>
      <c r="IO11" s="144"/>
      <c r="IP11" s="144"/>
      <c r="IQ11" s="144"/>
      <c r="IR11" s="144"/>
      <c r="IS11" s="144"/>
      <c r="IT11" s="144"/>
      <c r="IU11" s="144"/>
      <c r="IV11" s="144"/>
    </row>
    <row r="12" spans="1:256" ht="32.25" customHeight="1" thickBot="1">
      <c r="A12" s="1474"/>
      <c r="B12" s="550" t="s">
        <v>341</v>
      </c>
      <c r="C12" s="551">
        <v>1463</v>
      </c>
      <c r="D12" s="552">
        <v>14028.29</v>
      </c>
      <c r="E12" s="552">
        <v>110353.03</v>
      </c>
      <c r="F12" s="552">
        <v>25044.562125</v>
      </c>
      <c r="G12" s="552">
        <v>8612.1125</v>
      </c>
      <c r="H12" s="552">
        <v>8226.775125</v>
      </c>
      <c r="I12" s="552">
        <v>12751.232624999999</v>
      </c>
      <c r="J12" s="553"/>
      <c r="K12" s="553">
        <v>179.02</v>
      </c>
      <c r="L12" s="554">
        <v>12.53</v>
      </c>
      <c r="M12" s="735">
        <v>259549.1433</v>
      </c>
      <c r="N12" s="736">
        <v>18166.417400000002</v>
      </c>
      <c r="O12" s="660">
        <v>277715.6</v>
      </c>
      <c r="P12" s="762">
        <v>276992.50785</v>
      </c>
      <c r="Q12" s="763">
        <v>296478.4</v>
      </c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  <c r="IL12" s="144"/>
      <c r="IM12" s="144"/>
      <c r="IN12" s="144"/>
      <c r="IO12" s="144"/>
      <c r="IP12" s="144"/>
      <c r="IQ12" s="144"/>
      <c r="IR12" s="144"/>
      <c r="IS12" s="144"/>
      <c r="IT12" s="144"/>
      <c r="IU12" s="144"/>
      <c r="IV12" s="144"/>
    </row>
    <row r="13" spans="1:256" ht="45" customHeight="1" thickBot="1">
      <c r="A13" s="719" t="s">
        <v>479</v>
      </c>
      <c r="B13" s="718" t="s">
        <v>340</v>
      </c>
      <c r="C13" s="539">
        <v>374</v>
      </c>
      <c r="D13" s="559">
        <v>11617.8</v>
      </c>
      <c r="E13" s="559">
        <v>82914.56</v>
      </c>
      <c r="F13" s="559">
        <v>19186.57125</v>
      </c>
      <c r="G13" s="559">
        <v>6933.913875</v>
      </c>
      <c r="H13" s="559">
        <v>5588.898749999999</v>
      </c>
      <c r="I13" s="559">
        <v>12275.48925</v>
      </c>
      <c r="J13" s="559"/>
      <c r="K13" s="540">
        <v>138.52</v>
      </c>
      <c r="L13" s="540">
        <v>9.7</v>
      </c>
      <c r="M13" s="743">
        <v>51340.2415</v>
      </c>
      <c r="N13" s="744">
        <v>3595.1498</v>
      </c>
      <c r="O13" s="542">
        <v>54935.4</v>
      </c>
      <c r="P13" s="756">
        <v>58010.4</v>
      </c>
      <c r="Q13" s="757">
        <v>63558.2</v>
      </c>
      <c r="R13" s="543"/>
      <c r="S13" s="543"/>
      <c r="T13" s="543"/>
      <c r="U13" s="543"/>
      <c r="V13" s="543"/>
      <c r="W13" s="543"/>
      <c r="X13" s="543"/>
      <c r="Y13" s="543"/>
      <c r="Z13" s="543"/>
      <c r="AA13" s="543"/>
      <c r="AB13" s="543"/>
      <c r="AC13" s="543"/>
      <c r="AD13" s="543"/>
      <c r="AE13" s="543"/>
      <c r="AF13" s="543"/>
      <c r="AG13" s="543"/>
      <c r="AH13" s="543"/>
      <c r="AI13" s="543"/>
      <c r="AJ13" s="543"/>
      <c r="AK13" s="543"/>
      <c r="AL13" s="543"/>
      <c r="AM13" s="543"/>
      <c r="AN13" s="543"/>
      <c r="AO13" s="543"/>
      <c r="AP13" s="543"/>
      <c r="AQ13" s="543"/>
      <c r="AR13" s="543"/>
      <c r="AS13" s="543"/>
      <c r="AT13" s="543"/>
      <c r="AU13" s="543"/>
      <c r="AV13" s="543"/>
      <c r="AW13" s="543"/>
      <c r="AX13" s="543"/>
      <c r="AY13" s="543"/>
      <c r="AZ13" s="543"/>
      <c r="BA13" s="543"/>
      <c r="BB13" s="543"/>
      <c r="BC13" s="543"/>
      <c r="BD13" s="543"/>
      <c r="BE13" s="543"/>
      <c r="BF13" s="543"/>
      <c r="BG13" s="543"/>
      <c r="BH13" s="543"/>
      <c r="BI13" s="543"/>
      <c r="BJ13" s="543"/>
      <c r="BK13" s="543"/>
      <c r="BL13" s="543"/>
      <c r="BM13" s="543"/>
      <c r="BN13" s="543"/>
      <c r="BO13" s="543"/>
      <c r="BP13" s="543"/>
      <c r="BQ13" s="543"/>
      <c r="BR13" s="543"/>
      <c r="BS13" s="543"/>
      <c r="BT13" s="543"/>
      <c r="BU13" s="543"/>
      <c r="BV13" s="543"/>
      <c r="BW13" s="543"/>
      <c r="BX13" s="543"/>
      <c r="BY13" s="543"/>
      <c r="BZ13" s="543"/>
      <c r="CA13" s="543"/>
      <c r="CB13" s="543"/>
      <c r="CC13" s="543"/>
      <c r="CD13" s="543"/>
      <c r="CE13" s="543"/>
      <c r="CF13" s="543"/>
      <c r="CG13" s="543"/>
      <c r="CH13" s="543"/>
      <c r="CI13" s="543"/>
      <c r="CJ13" s="543"/>
      <c r="CK13" s="543"/>
      <c r="CL13" s="543"/>
      <c r="CM13" s="543"/>
      <c r="CN13" s="543"/>
      <c r="CO13" s="543"/>
      <c r="CP13" s="543"/>
      <c r="CQ13" s="543"/>
      <c r="CR13" s="543"/>
      <c r="CS13" s="543"/>
      <c r="CT13" s="543"/>
      <c r="CU13" s="543"/>
      <c r="CV13" s="543"/>
      <c r="CW13" s="543"/>
      <c r="CX13" s="543"/>
      <c r="CY13" s="543"/>
      <c r="CZ13" s="543"/>
      <c r="DA13" s="543"/>
      <c r="DB13" s="543"/>
      <c r="DC13" s="543"/>
      <c r="DD13" s="543"/>
      <c r="DE13" s="543"/>
      <c r="DF13" s="543"/>
      <c r="DG13" s="543"/>
      <c r="DH13" s="543"/>
      <c r="DI13" s="543"/>
      <c r="DJ13" s="543"/>
      <c r="DK13" s="543"/>
      <c r="DL13" s="543"/>
      <c r="DM13" s="543"/>
      <c r="DN13" s="543"/>
      <c r="DO13" s="543"/>
      <c r="DP13" s="543"/>
      <c r="DQ13" s="543"/>
      <c r="DR13" s="543"/>
      <c r="DS13" s="543"/>
      <c r="DT13" s="543"/>
      <c r="DU13" s="543"/>
      <c r="DV13" s="543"/>
      <c r="DW13" s="543"/>
      <c r="DX13" s="543"/>
      <c r="DY13" s="543"/>
      <c r="DZ13" s="543"/>
      <c r="EA13" s="543"/>
      <c r="EB13" s="543"/>
      <c r="EC13" s="543"/>
      <c r="ED13" s="543"/>
      <c r="EE13" s="543"/>
      <c r="EF13" s="543"/>
      <c r="EG13" s="543"/>
      <c r="EH13" s="543"/>
      <c r="EI13" s="543"/>
      <c r="EJ13" s="543"/>
      <c r="EK13" s="543"/>
      <c r="EL13" s="543"/>
      <c r="EM13" s="543"/>
      <c r="EN13" s="543"/>
      <c r="EO13" s="543"/>
      <c r="EP13" s="543"/>
      <c r="EQ13" s="543"/>
      <c r="ER13" s="543"/>
      <c r="ES13" s="543"/>
      <c r="ET13" s="543"/>
      <c r="EU13" s="543"/>
      <c r="EV13" s="543"/>
      <c r="EW13" s="543"/>
      <c r="EX13" s="543"/>
      <c r="EY13" s="543"/>
      <c r="EZ13" s="543"/>
      <c r="FA13" s="543"/>
      <c r="FB13" s="543"/>
      <c r="FC13" s="543"/>
      <c r="FD13" s="543"/>
      <c r="FE13" s="543"/>
      <c r="FF13" s="543"/>
      <c r="FG13" s="543"/>
      <c r="FH13" s="543"/>
      <c r="FI13" s="543"/>
      <c r="FJ13" s="543"/>
      <c r="FK13" s="543"/>
      <c r="FL13" s="543"/>
      <c r="FM13" s="543"/>
      <c r="FN13" s="543"/>
      <c r="FO13" s="543"/>
      <c r="FP13" s="543"/>
      <c r="FQ13" s="543"/>
      <c r="FR13" s="543"/>
      <c r="FS13" s="543"/>
      <c r="FT13" s="543"/>
      <c r="FU13" s="543"/>
      <c r="FV13" s="543"/>
      <c r="FW13" s="543"/>
      <c r="FX13" s="543"/>
      <c r="FY13" s="543"/>
      <c r="FZ13" s="543"/>
      <c r="GA13" s="543"/>
      <c r="GB13" s="543"/>
      <c r="GC13" s="543"/>
      <c r="GD13" s="543"/>
      <c r="GE13" s="543"/>
      <c r="GF13" s="543"/>
      <c r="GG13" s="543"/>
      <c r="GH13" s="543"/>
      <c r="GI13" s="543"/>
      <c r="GJ13" s="543"/>
      <c r="GK13" s="543"/>
      <c r="GL13" s="543"/>
      <c r="GM13" s="543"/>
      <c r="GN13" s="543"/>
      <c r="GO13" s="543"/>
      <c r="GP13" s="543"/>
      <c r="GQ13" s="543"/>
      <c r="GR13" s="543"/>
      <c r="GS13" s="543"/>
      <c r="GT13" s="543"/>
      <c r="GU13" s="543"/>
      <c r="GV13" s="543"/>
      <c r="GW13" s="543"/>
      <c r="GX13" s="543"/>
      <c r="GY13" s="543"/>
      <c r="GZ13" s="543"/>
      <c r="HA13" s="543"/>
      <c r="HB13" s="543"/>
      <c r="HC13" s="543"/>
      <c r="HD13" s="543"/>
      <c r="HE13" s="543"/>
      <c r="HF13" s="543"/>
      <c r="HG13" s="543"/>
      <c r="HH13" s="543"/>
      <c r="HI13" s="543"/>
      <c r="HJ13" s="543"/>
      <c r="HK13" s="543"/>
      <c r="HL13" s="543"/>
      <c r="HM13" s="543"/>
      <c r="HN13" s="543"/>
      <c r="HO13" s="543"/>
      <c r="HP13" s="543"/>
      <c r="HQ13" s="543"/>
      <c r="HR13" s="543"/>
      <c r="HS13" s="543"/>
      <c r="HT13" s="543"/>
      <c r="HU13" s="543"/>
      <c r="HV13" s="543"/>
      <c r="HW13" s="543"/>
      <c r="HX13" s="543"/>
      <c r="HY13" s="543"/>
      <c r="HZ13" s="543"/>
      <c r="IA13" s="543"/>
      <c r="IB13" s="543"/>
      <c r="IC13" s="543"/>
      <c r="ID13" s="543"/>
      <c r="IE13" s="543"/>
      <c r="IF13" s="543"/>
      <c r="IG13" s="543"/>
      <c r="IH13" s="543"/>
      <c r="II13" s="543"/>
      <c r="IJ13" s="543"/>
      <c r="IK13" s="543"/>
      <c r="IL13" s="543"/>
      <c r="IM13" s="543"/>
      <c r="IN13" s="543"/>
      <c r="IO13" s="543"/>
      <c r="IP13" s="543"/>
      <c r="IQ13" s="543"/>
      <c r="IR13" s="543"/>
      <c r="IS13" s="543"/>
      <c r="IT13" s="543"/>
      <c r="IU13" s="543"/>
      <c r="IV13" s="543"/>
    </row>
    <row r="14" spans="1:256" ht="21" customHeight="1" thickBot="1">
      <c r="A14" s="1472" t="s">
        <v>501</v>
      </c>
      <c r="B14" s="538" t="s">
        <v>339</v>
      </c>
      <c r="C14" s="539">
        <f>SUM(C15:C16)</f>
        <v>165</v>
      </c>
      <c r="D14" s="540"/>
      <c r="E14" s="540"/>
      <c r="F14" s="540"/>
      <c r="G14" s="540"/>
      <c r="H14" s="540"/>
      <c r="I14" s="540"/>
      <c r="J14" s="540"/>
      <c r="K14" s="540"/>
      <c r="L14" s="540"/>
      <c r="M14" s="737">
        <f>M15+M16</f>
        <v>24812.9553</v>
      </c>
      <c r="N14" s="738">
        <v>1737.5203000000001</v>
      </c>
      <c r="O14" s="542">
        <v>26550.4</v>
      </c>
      <c r="P14" s="758">
        <v>28244.100000000002</v>
      </c>
      <c r="Q14" s="759">
        <v>30766.8</v>
      </c>
      <c r="R14" s="543"/>
      <c r="S14" s="543"/>
      <c r="T14" s="543"/>
      <c r="U14" s="543"/>
      <c r="V14" s="543"/>
      <c r="W14" s="543"/>
      <c r="X14" s="543"/>
      <c r="Y14" s="543"/>
      <c r="Z14" s="543"/>
      <c r="AA14" s="543"/>
      <c r="AB14" s="543"/>
      <c r="AC14" s="543"/>
      <c r="AD14" s="543"/>
      <c r="AE14" s="543"/>
      <c r="AF14" s="543"/>
      <c r="AG14" s="543"/>
      <c r="AH14" s="543"/>
      <c r="AI14" s="543"/>
      <c r="AJ14" s="543"/>
      <c r="AK14" s="543"/>
      <c r="AL14" s="543"/>
      <c r="AM14" s="543"/>
      <c r="AN14" s="543"/>
      <c r="AO14" s="543"/>
      <c r="AP14" s="543"/>
      <c r="AQ14" s="543"/>
      <c r="AR14" s="543"/>
      <c r="AS14" s="543"/>
      <c r="AT14" s="543"/>
      <c r="AU14" s="543"/>
      <c r="AV14" s="543"/>
      <c r="AW14" s="543"/>
      <c r="AX14" s="543"/>
      <c r="AY14" s="543"/>
      <c r="AZ14" s="543"/>
      <c r="BA14" s="543"/>
      <c r="BB14" s="543"/>
      <c r="BC14" s="543"/>
      <c r="BD14" s="543"/>
      <c r="BE14" s="543"/>
      <c r="BF14" s="543"/>
      <c r="BG14" s="543"/>
      <c r="BH14" s="543"/>
      <c r="BI14" s="543"/>
      <c r="BJ14" s="543"/>
      <c r="BK14" s="543"/>
      <c r="BL14" s="543"/>
      <c r="BM14" s="543"/>
      <c r="BN14" s="543"/>
      <c r="BO14" s="543"/>
      <c r="BP14" s="543"/>
      <c r="BQ14" s="543"/>
      <c r="BR14" s="543"/>
      <c r="BS14" s="543"/>
      <c r="BT14" s="543"/>
      <c r="BU14" s="543"/>
      <c r="BV14" s="543"/>
      <c r="BW14" s="543"/>
      <c r="BX14" s="543"/>
      <c r="BY14" s="543"/>
      <c r="BZ14" s="543"/>
      <c r="CA14" s="543"/>
      <c r="CB14" s="543"/>
      <c r="CC14" s="543"/>
      <c r="CD14" s="543"/>
      <c r="CE14" s="543"/>
      <c r="CF14" s="543"/>
      <c r="CG14" s="543"/>
      <c r="CH14" s="543"/>
      <c r="CI14" s="543"/>
      <c r="CJ14" s="543"/>
      <c r="CK14" s="543"/>
      <c r="CL14" s="543"/>
      <c r="CM14" s="543"/>
      <c r="CN14" s="543"/>
      <c r="CO14" s="543"/>
      <c r="CP14" s="543"/>
      <c r="CQ14" s="543"/>
      <c r="CR14" s="543"/>
      <c r="CS14" s="543"/>
      <c r="CT14" s="543"/>
      <c r="CU14" s="543"/>
      <c r="CV14" s="543"/>
      <c r="CW14" s="543"/>
      <c r="CX14" s="543"/>
      <c r="CY14" s="543"/>
      <c r="CZ14" s="543"/>
      <c r="DA14" s="543"/>
      <c r="DB14" s="543"/>
      <c r="DC14" s="543"/>
      <c r="DD14" s="543"/>
      <c r="DE14" s="543"/>
      <c r="DF14" s="543"/>
      <c r="DG14" s="543"/>
      <c r="DH14" s="543"/>
      <c r="DI14" s="543"/>
      <c r="DJ14" s="543"/>
      <c r="DK14" s="543"/>
      <c r="DL14" s="543"/>
      <c r="DM14" s="543"/>
      <c r="DN14" s="543"/>
      <c r="DO14" s="543"/>
      <c r="DP14" s="543"/>
      <c r="DQ14" s="543"/>
      <c r="DR14" s="543"/>
      <c r="DS14" s="543"/>
      <c r="DT14" s="543"/>
      <c r="DU14" s="543"/>
      <c r="DV14" s="543"/>
      <c r="DW14" s="543"/>
      <c r="DX14" s="543"/>
      <c r="DY14" s="543"/>
      <c r="DZ14" s="543"/>
      <c r="EA14" s="543"/>
      <c r="EB14" s="543"/>
      <c r="EC14" s="543"/>
      <c r="ED14" s="543"/>
      <c r="EE14" s="543"/>
      <c r="EF14" s="543"/>
      <c r="EG14" s="543"/>
      <c r="EH14" s="543"/>
      <c r="EI14" s="543"/>
      <c r="EJ14" s="543"/>
      <c r="EK14" s="543"/>
      <c r="EL14" s="543"/>
      <c r="EM14" s="543"/>
      <c r="EN14" s="543"/>
      <c r="EO14" s="543"/>
      <c r="EP14" s="543"/>
      <c r="EQ14" s="543"/>
      <c r="ER14" s="543"/>
      <c r="ES14" s="543"/>
      <c r="ET14" s="543"/>
      <c r="EU14" s="543"/>
      <c r="EV14" s="543"/>
      <c r="EW14" s="543"/>
      <c r="EX14" s="543"/>
      <c r="EY14" s="543"/>
      <c r="EZ14" s="543"/>
      <c r="FA14" s="543"/>
      <c r="FB14" s="543"/>
      <c r="FC14" s="543"/>
      <c r="FD14" s="543"/>
      <c r="FE14" s="543"/>
      <c r="FF14" s="543"/>
      <c r="FG14" s="543"/>
      <c r="FH14" s="543"/>
      <c r="FI14" s="543"/>
      <c r="FJ14" s="543"/>
      <c r="FK14" s="543"/>
      <c r="FL14" s="543"/>
      <c r="FM14" s="543"/>
      <c r="FN14" s="543"/>
      <c r="FO14" s="543"/>
      <c r="FP14" s="543"/>
      <c r="FQ14" s="543"/>
      <c r="FR14" s="543"/>
      <c r="FS14" s="543"/>
      <c r="FT14" s="543"/>
      <c r="FU14" s="543"/>
      <c r="FV14" s="543"/>
      <c r="FW14" s="543"/>
      <c r="FX14" s="543"/>
      <c r="FY14" s="543"/>
      <c r="FZ14" s="543"/>
      <c r="GA14" s="543"/>
      <c r="GB14" s="543"/>
      <c r="GC14" s="543"/>
      <c r="GD14" s="543"/>
      <c r="GE14" s="543"/>
      <c r="GF14" s="543"/>
      <c r="GG14" s="543"/>
      <c r="GH14" s="543"/>
      <c r="GI14" s="543"/>
      <c r="GJ14" s="543"/>
      <c r="GK14" s="543"/>
      <c r="GL14" s="543"/>
      <c r="GM14" s="543"/>
      <c r="GN14" s="543"/>
      <c r="GO14" s="543"/>
      <c r="GP14" s="543"/>
      <c r="GQ14" s="543"/>
      <c r="GR14" s="543"/>
      <c r="GS14" s="543"/>
      <c r="GT14" s="543"/>
      <c r="GU14" s="543"/>
      <c r="GV14" s="543"/>
      <c r="GW14" s="543"/>
      <c r="GX14" s="543"/>
      <c r="GY14" s="543"/>
      <c r="GZ14" s="543"/>
      <c r="HA14" s="543"/>
      <c r="HB14" s="543"/>
      <c r="HC14" s="543"/>
      <c r="HD14" s="543"/>
      <c r="HE14" s="543"/>
      <c r="HF14" s="543"/>
      <c r="HG14" s="543"/>
      <c r="HH14" s="543"/>
      <c r="HI14" s="543"/>
      <c r="HJ14" s="543"/>
      <c r="HK14" s="543"/>
      <c r="HL14" s="543"/>
      <c r="HM14" s="543"/>
      <c r="HN14" s="543"/>
      <c r="HO14" s="543"/>
      <c r="HP14" s="543"/>
      <c r="HQ14" s="543"/>
      <c r="HR14" s="543"/>
      <c r="HS14" s="543"/>
      <c r="HT14" s="543"/>
      <c r="HU14" s="543"/>
      <c r="HV14" s="543"/>
      <c r="HW14" s="543"/>
      <c r="HX14" s="543"/>
      <c r="HY14" s="543"/>
      <c r="HZ14" s="543"/>
      <c r="IA14" s="543"/>
      <c r="IB14" s="543"/>
      <c r="IC14" s="543"/>
      <c r="ID14" s="543"/>
      <c r="IE14" s="543"/>
      <c r="IF14" s="543"/>
      <c r="IG14" s="543"/>
      <c r="IH14" s="543"/>
      <c r="II14" s="543"/>
      <c r="IJ14" s="543"/>
      <c r="IK14" s="543"/>
      <c r="IL14" s="543"/>
      <c r="IM14" s="543"/>
      <c r="IN14" s="543"/>
      <c r="IO14" s="543"/>
      <c r="IP14" s="543"/>
      <c r="IQ14" s="543"/>
      <c r="IR14" s="543"/>
      <c r="IS14" s="543"/>
      <c r="IT14" s="543"/>
      <c r="IU14" s="543"/>
      <c r="IV14" s="543"/>
    </row>
    <row r="15" spans="1:256" ht="30" customHeight="1">
      <c r="A15" s="1473"/>
      <c r="B15" s="544" t="s">
        <v>340</v>
      </c>
      <c r="C15" s="545">
        <v>146</v>
      </c>
      <c r="D15" s="546">
        <v>11617.8</v>
      </c>
      <c r="E15" s="546">
        <v>82914.56</v>
      </c>
      <c r="F15" s="546">
        <v>19186.57125</v>
      </c>
      <c r="G15" s="546">
        <v>6933.913875</v>
      </c>
      <c r="H15" s="546">
        <v>5588.898749999999</v>
      </c>
      <c r="I15" s="546">
        <v>12275.48925</v>
      </c>
      <c r="J15" s="546"/>
      <c r="K15" s="547">
        <v>138.52</v>
      </c>
      <c r="L15" s="547">
        <v>9.7</v>
      </c>
      <c r="M15" s="739">
        <v>20041.8849</v>
      </c>
      <c r="N15" s="745">
        <v>1403.4542000000001</v>
      </c>
      <c r="O15" s="662">
        <v>21445.3</v>
      </c>
      <c r="P15" s="764">
        <v>23975.4</v>
      </c>
      <c r="Q15" s="765">
        <v>26268.3</v>
      </c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  <c r="IL15" s="144"/>
      <c r="IM15" s="144"/>
      <c r="IN15" s="144"/>
      <c r="IO15" s="144"/>
      <c r="IP15" s="144"/>
      <c r="IQ15" s="144"/>
      <c r="IR15" s="144"/>
      <c r="IS15" s="144"/>
      <c r="IT15" s="144"/>
      <c r="IU15" s="144"/>
      <c r="IV15" s="144"/>
    </row>
    <row r="16" spans="1:256" ht="47.25" customHeight="1" thickBot="1">
      <c r="A16" s="1474"/>
      <c r="B16" s="555" t="s">
        <v>342</v>
      </c>
      <c r="C16" s="556">
        <v>19</v>
      </c>
      <c r="D16" s="557">
        <v>22570.81</v>
      </c>
      <c r="E16" s="557">
        <v>146090.92</v>
      </c>
      <c r="F16" s="557">
        <v>39030.72075</v>
      </c>
      <c r="G16" s="557">
        <v>12429.34875</v>
      </c>
      <c r="H16" s="557">
        <v>9328.334625</v>
      </c>
      <c r="I16" s="557">
        <v>23940.086625</v>
      </c>
      <c r="J16" s="557"/>
      <c r="K16" s="558">
        <v>253.39</v>
      </c>
      <c r="L16" s="558">
        <v>17.74</v>
      </c>
      <c r="M16" s="746">
        <v>4771.0704</v>
      </c>
      <c r="N16" s="747">
        <v>334.0661</v>
      </c>
      <c r="O16" s="663">
        <v>5105.1</v>
      </c>
      <c r="P16" s="768">
        <v>4268.7</v>
      </c>
      <c r="Q16" s="763">
        <v>4498.5</v>
      </c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  <c r="IN16" s="144"/>
      <c r="IO16" s="144"/>
      <c r="IP16" s="144"/>
      <c r="IQ16" s="144"/>
      <c r="IR16" s="144"/>
      <c r="IS16" s="144"/>
      <c r="IT16" s="144"/>
      <c r="IU16" s="144"/>
      <c r="IV16" s="144"/>
    </row>
    <row r="17" spans="1:256" ht="20.25" customHeight="1" thickBot="1">
      <c r="A17" s="1472" t="s">
        <v>0</v>
      </c>
      <c r="B17" s="538" t="s">
        <v>339</v>
      </c>
      <c r="C17" s="539">
        <f>SUM(C18:C19)</f>
        <v>437</v>
      </c>
      <c r="D17" s="540"/>
      <c r="E17" s="540"/>
      <c r="F17" s="540"/>
      <c r="G17" s="540"/>
      <c r="H17" s="540"/>
      <c r="I17" s="540"/>
      <c r="J17" s="540"/>
      <c r="K17" s="540"/>
      <c r="L17" s="540"/>
      <c r="M17" s="737">
        <f>SUM(M18:M19)</f>
        <v>62606.72230000001</v>
      </c>
      <c r="N17" s="738">
        <f>SUM(N18:N19)</f>
        <v>4383.9858</v>
      </c>
      <c r="O17" s="542">
        <f>SUM(O18:O19)</f>
        <v>66990.7</v>
      </c>
      <c r="P17" s="758">
        <f>SUM(P18:P19)</f>
        <v>74376.6</v>
      </c>
      <c r="Q17" s="759">
        <f>SUM(Q18:Q19)</f>
        <v>82973.90000000001</v>
      </c>
      <c r="R17" s="543"/>
      <c r="S17" s="543"/>
      <c r="T17" s="543"/>
      <c r="U17" s="543"/>
      <c r="V17" s="543"/>
      <c r="W17" s="543"/>
      <c r="X17" s="543"/>
      <c r="Y17" s="543"/>
      <c r="Z17" s="543"/>
      <c r="AA17" s="543"/>
      <c r="AB17" s="543"/>
      <c r="AC17" s="543"/>
      <c r="AD17" s="543"/>
      <c r="AE17" s="543"/>
      <c r="AF17" s="543"/>
      <c r="AG17" s="543"/>
      <c r="AH17" s="543"/>
      <c r="AI17" s="543"/>
      <c r="AJ17" s="543"/>
      <c r="AK17" s="543"/>
      <c r="AL17" s="543"/>
      <c r="AM17" s="543"/>
      <c r="AN17" s="543"/>
      <c r="AO17" s="543"/>
      <c r="AP17" s="543"/>
      <c r="AQ17" s="543"/>
      <c r="AR17" s="543"/>
      <c r="AS17" s="543"/>
      <c r="AT17" s="543"/>
      <c r="AU17" s="543"/>
      <c r="AV17" s="543"/>
      <c r="AW17" s="543"/>
      <c r="AX17" s="543"/>
      <c r="AY17" s="543"/>
      <c r="AZ17" s="543"/>
      <c r="BA17" s="543"/>
      <c r="BB17" s="543"/>
      <c r="BC17" s="543"/>
      <c r="BD17" s="543"/>
      <c r="BE17" s="543"/>
      <c r="BF17" s="543"/>
      <c r="BG17" s="543"/>
      <c r="BH17" s="543"/>
      <c r="BI17" s="543"/>
      <c r="BJ17" s="543"/>
      <c r="BK17" s="543"/>
      <c r="BL17" s="543"/>
      <c r="BM17" s="543"/>
      <c r="BN17" s="543"/>
      <c r="BO17" s="543"/>
      <c r="BP17" s="543"/>
      <c r="BQ17" s="543"/>
      <c r="BR17" s="543"/>
      <c r="BS17" s="543"/>
      <c r="BT17" s="543"/>
      <c r="BU17" s="543"/>
      <c r="BV17" s="543"/>
      <c r="BW17" s="543"/>
      <c r="BX17" s="543"/>
      <c r="BY17" s="543"/>
      <c r="BZ17" s="543"/>
      <c r="CA17" s="543"/>
      <c r="CB17" s="543"/>
      <c r="CC17" s="543"/>
      <c r="CD17" s="543"/>
      <c r="CE17" s="543"/>
      <c r="CF17" s="543"/>
      <c r="CG17" s="543"/>
      <c r="CH17" s="543"/>
      <c r="CI17" s="543"/>
      <c r="CJ17" s="543"/>
      <c r="CK17" s="543"/>
      <c r="CL17" s="543"/>
      <c r="CM17" s="543"/>
      <c r="CN17" s="543"/>
      <c r="CO17" s="543"/>
      <c r="CP17" s="543"/>
      <c r="CQ17" s="543"/>
      <c r="CR17" s="543"/>
      <c r="CS17" s="543"/>
      <c r="CT17" s="543"/>
      <c r="CU17" s="543"/>
      <c r="CV17" s="543"/>
      <c r="CW17" s="543"/>
      <c r="CX17" s="543"/>
      <c r="CY17" s="543"/>
      <c r="CZ17" s="543"/>
      <c r="DA17" s="543"/>
      <c r="DB17" s="543"/>
      <c r="DC17" s="543"/>
      <c r="DD17" s="543"/>
      <c r="DE17" s="543"/>
      <c r="DF17" s="543"/>
      <c r="DG17" s="543"/>
      <c r="DH17" s="543"/>
      <c r="DI17" s="543"/>
      <c r="DJ17" s="543"/>
      <c r="DK17" s="543"/>
      <c r="DL17" s="543"/>
      <c r="DM17" s="543"/>
      <c r="DN17" s="543"/>
      <c r="DO17" s="543"/>
      <c r="DP17" s="543"/>
      <c r="DQ17" s="543"/>
      <c r="DR17" s="543"/>
      <c r="DS17" s="543"/>
      <c r="DT17" s="543"/>
      <c r="DU17" s="543"/>
      <c r="DV17" s="543"/>
      <c r="DW17" s="543"/>
      <c r="DX17" s="543"/>
      <c r="DY17" s="543"/>
      <c r="DZ17" s="543"/>
      <c r="EA17" s="543"/>
      <c r="EB17" s="543"/>
      <c r="EC17" s="543"/>
      <c r="ED17" s="543"/>
      <c r="EE17" s="543"/>
      <c r="EF17" s="543"/>
      <c r="EG17" s="543"/>
      <c r="EH17" s="543"/>
      <c r="EI17" s="543"/>
      <c r="EJ17" s="543"/>
      <c r="EK17" s="543"/>
      <c r="EL17" s="543"/>
      <c r="EM17" s="543"/>
      <c r="EN17" s="543"/>
      <c r="EO17" s="543"/>
      <c r="EP17" s="543"/>
      <c r="EQ17" s="543"/>
      <c r="ER17" s="543"/>
      <c r="ES17" s="543"/>
      <c r="ET17" s="543"/>
      <c r="EU17" s="543"/>
      <c r="EV17" s="543"/>
      <c r="EW17" s="543"/>
      <c r="EX17" s="543"/>
      <c r="EY17" s="543"/>
      <c r="EZ17" s="543"/>
      <c r="FA17" s="543"/>
      <c r="FB17" s="543"/>
      <c r="FC17" s="543"/>
      <c r="FD17" s="543"/>
      <c r="FE17" s="543"/>
      <c r="FF17" s="543"/>
      <c r="FG17" s="543"/>
      <c r="FH17" s="543"/>
      <c r="FI17" s="543"/>
      <c r="FJ17" s="543"/>
      <c r="FK17" s="543"/>
      <c r="FL17" s="543"/>
      <c r="FM17" s="543"/>
      <c r="FN17" s="543"/>
      <c r="FO17" s="543"/>
      <c r="FP17" s="543"/>
      <c r="FQ17" s="543"/>
      <c r="FR17" s="543"/>
      <c r="FS17" s="543"/>
      <c r="FT17" s="543"/>
      <c r="FU17" s="543"/>
      <c r="FV17" s="543"/>
      <c r="FW17" s="543"/>
      <c r="FX17" s="543"/>
      <c r="FY17" s="543"/>
      <c r="FZ17" s="543"/>
      <c r="GA17" s="543"/>
      <c r="GB17" s="543"/>
      <c r="GC17" s="543"/>
      <c r="GD17" s="543"/>
      <c r="GE17" s="543"/>
      <c r="GF17" s="543"/>
      <c r="GG17" s="543"/>
      <c r="GH17" s="543"/>
      <c r="GI17" s="543"/>
      <c r="GJ17" s="543"/>
      <c r="GK17" s="543"/>
      <c r="GL17" s="543"/>
      <c r="GM17" s="543"/>
      <c r="GN17" s="543"/>
      <c r="GO17" s="543"/>
      <c r="GP17" s="543"/>
      <c r="GQ17" s="543"/>
      <c r="GR17" s="543"/>
      <c r="GS17" s="543"/>
      <c r="GT17" s="543"/>
      <c r="GU17" s="543"/>
      <c r="GV17" s="543"/>
      <c r="GW17" s="543"/>
      <c r="GX17" s="543"/>
      <c r="GY17" s="543"/>
      <c r="GZ17" s="543"/>
      <c r="HA17" s="543"/>
      <c r="HB17" s="543"/>
      <c r="HC17" s="543"/>
      <c r="HD17" s="543"/>
      <c r="HE17" s="543"/>
      <c r="HF17" s="543"/>
      <c r="HG17" s="543"/>
      <c r="HH17" s="543"/>
      <c r="HI17" s="543"/>
      <c r="HJ17" s="543"/>
      <c r="HK17" s="543"/>
      <c r="HL17" s="543"/>
      <c r="HM17" s="543"/>
      <c r="HN17" s="543"/>
      <c r="HO17" s="543"/>
      <c r="HP17" s="543"/>
      <c r="HQ17" s="543"/>
      <c r="HR17" s="543"/>
      <c r="HS17" s="543"/>
      <c r="HT17" s="543"/>
      <c r="HU17" s="543"/>
      <c r="HV17" s="543"/>
      <c r="HW17" s="543"/>
      <c r="HX17" s="543"/>
      <c r="HY17" s="543"/>
      <c r="HZ17" s="543"/>
      <c r="IA17" s="543"/>
      <c r="IB17" s="543"/>
      <c r="IC17" s="543"/>
      <c r="ID17" s="543"/>
      <c r="IE17" s="543"/>
      <c r="IF17" s="543"/>
      <c r="IG17" s="543"/>
      <c r="IH17" s="543"/>
      <c r="II17" s="543"/>
      <c r="IJ17" s="543"/>
      <c r="IK17" s="543"/>
      <c r="IL17" s="543"/>
      <c r="IM17" s="543"/>
      <c r="IN17" s="543"/>
      <c r="IO17" s="543"/>
      <c r="IP17" s="543"/>
      <c r="IQ17" s="543"/>
      <c r="IR17" s="543"/>
      <c r="IS17" s="543"/>
      <c r="IT17" s="543"/>
      <c r="IU17" s="543"/>
      <c r="IV17" s="543"/>
    </row>
    <row r="18" spans="1:256" ht="32.25" customHeight="1">
      <c r="A18" s="1473"/>
      <c r="B18" s="544" t="s">
        <v>340</v>
      </c>
      <c r="C18" s="545">
        <v>414</v>
      </c>
      <c r="D18" s="546">
        <v>11617.8</v>
      </c>
      <c r="E18" s="546">
        <v>82914.56</v>
      </c>
      <c r="F18" s="546">
        <v>19186.57125</v>
      </c>
      <c r="G18" s="546">
        <v>6933.913875</v>
      </c>
      <c r="H18" s="546">
        <v>5588.898749999999</v>
      </c>
      <c r="I18" s="546">
        <v>12275.48925</v>
      </c>
      <c r="J18" s="546">
        <v>0</v>
      </c>
      <c r="K18" s="547">
        <v>138.52</v>
      </c>
      <c r="L18" s="547">
        <v>9.7</v>
      </c>
      <c r="M18" s="739">
        <v>56831.174300000006</v>
      </c>
      <c r="N18" s="740">
        <v>3979.6578</v>
      </c>
      <c r="O18" s="662">
        <v>60810.8</v>
      </c>
      <c r="P18" s="764">
        <v>68350.3</v>
      </c>
      <c r="Q18" s="765">
        <v>76623.1</v>
      </c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  <c r="IJ18" s="144"/>
      <c r="IK18" s="144"/>
      <c r="IL18" s="144"/>
      <c r="IM18" s="144"/>
      <c r="IN18" s="144"/>
      <c r="IO18" s="144"/>
      <c r="IP18" s="144"/>
      <c r="IQ18" s="144"/>
      <c r="IR18" s="144"/>
      <c r="IS18" s="144"/>
      <c r="IT18" s="144"/>
      <c r="IU18" s="144"/>
      <c r="IV18" s="144"/>
    </row>
    <row r="19" spans="1:256" ht="47.25" customHeight="1" thickBot="1">
      <c r="A19" s="1473"/>
      <c r="B19" s="716" t="s">
        <v>342</v>
      </c>
      <c r="C19" s="561">
        <v>23</v>
      </c>
      <c r="D19" s="562">
        <v>22570.81</v>
      </c>
      <c r="E19" s="562">
        <v>146090.92</v>
      </c>
      <c r="F19" s="562">
        <v>39030.72075</v>
      </c>
      <c r="G19" s="562">
        <v>12429.34875</v>
      </c>
      <c r="H19" s="562">
        <v>9328.334625</v>
      </c>
      <c r="I19" s="562">
        <v>23940.086625</v>
      </c>
      <c r="J19" s="562"/>
      <c r="K19" s="563">
        <v>253.39</v>
      </c>
      <c r="L19" s="563">
        <v>17.74</v>
      </c>
      <c r="M19" s="741">
        <v>5775.548</v>
      </c>
      <c r="N19" s="742">
        <v>404.328</v>
      </c>
      <c r="O19" s="717">
        <v>6179.9</v>
      </c>
      <c r="P19" s="766">
        <v>6026.3</v>
      </c>
      <c r="Q19" s="767">
        <v>6350.8</v>
      </c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  <c r="IL19" s="144"/>
      <c r="IM19" s="144"/>
      <c r="IN19" s="144"/>
      <c r="IO19" s="144"/>
      <c r="IP19" s="144"/>
      <c r="IQ19" s="144"/>
      <c r="IR19" s="144"/>
      <c r="IS19" s="144"/>
      <c r="IT19" s="144"/>
      <c r="IU19" s="144"/>
      <c r="IV19" s="144"/>
    </row>
    <row r="20" spans="1:256" ht="42.75" customHeight="1" thickBot="1">
      <c r="A20" s="719" t="s">
        <v>1</v>
      </c>
      <c r="B20" s="718" t="s">
        <v>340</v>
      </c>
      <c r="C20" s="539">
        <v>135</v>
      </c>
      <c r="D20" s="559">
        <v>12547.224</v>
      </c>
      <c r="E20" s="559">
        <v>89547.7248</v>
      </c>
      <c r="F20" s="559">
        <v>20721.49695</v>
      </c>
      <c r="G20" s="559">
        <v>7488.626985000001</v>
      </c>
      <c r="H20" s="559">
        <v>6036.01065</v>
      </c>
      <c r="I20" s="559">
        <v>13257.528390000001</v>
      </c>
      <c r="J20" s="559"/>
      <c r="K20" s="560">
        <v>149.6</v>
      </c>
      <c r="L20" s="560">
        <v>10.47</v>
      </c>
      <c r="M20" s="743">
        <v>20014.236</v>
      </c>
      <c r="N20" s="744">
        <v>1400.7785</v>
      </c>
      <c r="O20" s="542">
        <v>21415</v>
      </c>
      <c r="P20" s="756">
        <v>20422.3</v>
      </c>
      <c r="Q20" s="757">
        <v>22801.2</v>
      </c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  <c r="IN20" s="144"/>
      <c r="IO20" s="144"/>
      <c r="IP20" s="144"/>
      <c r="IQ20" s="144"/>
      <c r="IR20" s="144"/>
      <c r="IS20" s="144"/>
      <c r="IT20" s="144"/>
      <c r="IU20" s="144"/>
      <c r="IV20" s="144"/>
    </row>
    <row r="21" spans="1:256" ht="33" customHeight="1" thickBot="1">
      <c r="A21" s="729" t="s">
        <v>36</v>
      </c>
      <c r="B21" s="544" t="s">
        <v>340</v>
      </c>
      <c r="C21" s="720">
        <v>344</v>
      </c>
      <c r="D21" s="730">
        <v>11617.8</v>
      </c>
      <c r="E21" s="730">
        <v>82914.56</v>
      </c>
      <c r="F21" s="730">
        <v>19186.57125</v>
      </c>
      <c r="G21" s="730">
        <v>6933.913875</v>
      </c>
      <c r="H21" s="730">
        <v>5588.898749999999</v>
      </c>
      <c r="I21" s="730">
        <v>12275.48925</v>
      </c>
      <c r="J21" s="730"/>
      <c r="K21" s="721">
        <v>138.52</v>
      </c>
      <c r="L21" s="721">
        <v>9.7</v>
      </c>
      <c r="M21" s="748">
        <v>47222.041900000004</v>
      </c>
      <c r="N21" s="749">
        <v>3306.7688000000003</v>
      </c>
      <c r="O21" s="664">
        <v>50528.8</v>
      </c>
      <c r="P21" s="769">
        <v>57339.8</v>
      </c>
      <c r="Q21" s="770">
        <v>62823.3</v>
      </c>
      <c r="R21" s="543"/>
      <c r="S21" s="543"/>
      <c r="T21" s="543"/>
      <c r="U21" s="543"/>
      <c r="V21" s="543"/>
      <c r="W21" s="543"/>
      <c r="X21" s="543"/>
      <c r="Y21" s="543"/>
      <c r="Z21" s="543"/>
      <c r="AA21" s="543"/>
      <c r="AB21" s="543"/>
      <c r="AC21" s="543"/>
      <c r="AD21" s="543"/>
      <c r="AE21" s="543"/>
      <c r="AF21" s="543"/>
      <c r="AG21" s="543"/>
      <c r="AH21" s="543"/>
      <c r="AI21" s="543"/>
      <c r="AJ21" s="543"/>
      <c r="AK21" s="543"/>
      <c r="AL21" s="543"/>
      <c r="AM21" s="543"/>
      <c r="AN21" s="543"/>
      <c r="AO21" s="543"/>
      <c r="AP21" s="543"/>
      <c r="AQ21" s="543"/>
      <c r="AR21" s="543"/>
      <c r="AS21" s="543"/>
      <c r="AT21" s="543"/>
      <c r="AU21" s="543"/>
      <c r="AV21" s="543"/>
      <c r="AW21" s="543"/>
      <c r="AX21" s="543"/>
      <c r="AY21" s="543"/>
      <c r="AZ21" s="543"/>
      <c r="BA21" s="543"/>
      <c r="BB21" s="543"/>
      <c r="BC21" s="543"/>
      <c r="BD21" s="543"/>
      <c r="BE21" s="543"/>
      <c r="BF21" s="543"/>
      <c r="BG21" s="543"/>
      <c r="BH21" s="543"/>
      <c r="BI21" s="543"/>
      <c r="BJ21" s="543"/>
      <c r="BK21" s="543"/>
      <c r="BL21" s="543"/>
      <c r="BM21" s="543"/>
      <c r="BN21" s="543"/>
      <c r="BO21" s="543"/>
      <c r="BP21" s="543"/>
      <c r="BQ21" s="543"/>
      <c r="BR21" s="543"/>
      <c r="BS21" s="543"/>
      <c r="BT21" s="543"/>
      <c r="BU21" s="543"/>
      <c r="BV21" s="543"/>
      <c r="BW21" s="543"/>
      <c r="BX21" s="543"/>
      <c r="BY21" s="543"/>
      <c r="BZ21" s="543"/>
      <c r="CA21" s="543"/>
      <c r="CB21" s="543"/>
      <c r="CC21" s="543"/>
      <c r="CD21" s="543"/>
      <c r="CE21" s="543"/>
      <c r="CF21" s="543"/>
      <c r="CG21" s="543"/>
      <c r="CH21" s="543"/>
      <c r="CI21" s="543"/>
      <c r="CJ21" s="543"/>
      <c r="CK21" s="543"/>
      <c r="CL21" s="543"/>
      <c r="CM21" s="543"/>
      <c r="CN21" s="543"/>
      <c r="CO21" s="543"/>
      <c r="CP21" s="543"/>
      <c r="CQ21" s="543"/>
      <c r="CR21" s="543"/>
      <c r="CS21" s="543"/>
      <c r="CT21" s="543"/>
      <c r="CU21" s="543"/>
      <c r="CV21" s="543"/>
      <c r="CW21" s="543"/>
      <c r="CX21" s="543"/>
      <c r="CY21" s="543"/>
      <c r="CZ21" s="543"/>
      <c r="DA21" s="543"/>
      <c r="DB21" s="543"/>
      <c r="DC21" s="543"/>
      <c r="DD21" s="543"/>
      <c r="DE21" s="543"/>
      <c r="DF21" s="543"/>
      <c r="DG21" s="543"/>
      <c r="DH21" s="543"/>
      <c r="DI21" s="543"/>
      <c r="DJ21" s="543"/>
      <c r="DK21" s="543"/>
      <c r="DL21" s="543"/>
      <c r="DM21" s="543"/>
      <c r="DN21" s="543"/>
      <c r="DO21" s="543"/>
      <c r="DP21" s="543"/>
      <c r="DQ21" s="543"/>
      <c r="DR21" s="543"/>
      <c r="DS21" s="543"/>
      <c r="DT21" s="543"/>
      <c r="DU21" s="543"/>
      <c r="DV21" s="543"/>
      <c r="DW21" s="543"/>
      <c r="DX21" s="543"/>
      <c r="DY21" s="543"/>
      <c r="DZ21" s="543"/>
      <c r="EA21" s="543"/>
      <c r="EB21" s="543"/>
      <c r="EC21" s="543"/>
      <c r="ED21" s="543"/>
      <c r="EE21" s="543"/>
      <c r="EF21" s="543"/>
      <c r="EG21" s="543"/>
      <c r="EH21" s="543"/>
      <c r="EI21" s="543"/>
      <c r="EJ21" s="543"/>
      <c r="EK21" s="543"/>
      <c r="EL21" s="543"/>
      <c r="EM21" s="543"/>
      <c r="EN21" s="543"/>
      <c r="EO21" s="543"/>
      <c r="EP21" s="543"/>
      <c r="EQ21" s="543"/>
      <c r="ER21" s="543"/>
      <c r="ES21" s="543"/>
      <c r="ET21" s="543"/>
      <c r="EU21" s="543"/>
      <c r="EV21" s="543"/>
      <c r="EW21" s="543"/>
      <c r="EX21" s="543"/>
      <c r="EY21" s="543"/>
      <c r="EZ21" s="543"/>
      <c r="FA21" s="543"/>
      <c r="FB21" s="543"/>
      <c r="FC21" s="543"/>
      <c r="FD21" s="543"/>
      <c r="FE21" s="543"/>
      <c r="FF21" s="543"/>
      <c r="FG21" s="543"/>
      <c r="FH21" s="543"/>
      <c r="FI21" s="543"/>
      <c r="FJ21" s="543"/>
      <c r="FK21" s="543"/>
      <c r="FL21" s="543"/>
      <c r="FM21" s="543"/>
      <c r="FN21" s="543"/>
      <c r="FO21" s="543"/>
      <c r="FP21" s="543"/>
      <c r="FQ21" s="543"/>
      <c r="FR21" s="543"/>
      <c r="FS21" s="543"/>
      <c r="FT21" s="543"/>
      <c r="FU21" s="543"/>
      <c r="FV21" s="543"/>
      <c r="FW21" s="543"/>
      <c r="FX21" s="543"/>
      <c r="FY21" s="543"/>
      <c r="FZ21" s="543"/>
      <c r="GA21" s="543"/>
      <c r="GB21" s="543"/>
      <c r="GC21" s="543"/>
      <c r="GD21" s="543"/>
      <c r="GE21" s="543"/>
      <c r="GF21" s="543"/>
      <c r="GG21" s="543"/>
      <c r="GH21" s="543"/>
      <c r="GI21" s="543"/>
      <c r="GJ21" s="543"/>
      <c r="GK21" s="543"/>
      <c r="GL21" s="543"/>
      <c r="GM21" s="543"/>
      <c r="GN21" s="543"/>
      <c r="GO21" s="543"/>
      <c r="GP21" s="543"/>
      <c r="GQ21" s="543"/>
      <c r="GR21" s="543"/>
      <c r="GS21" s="543"/>
      <c r="GT21" s="543"/>
      <c r="GU21" s="543"/>
      <c r="GV21" s="543"/>
      <c r="GW21" s="543"/>
      <c r="GX21" s="543"/>
      <c r="GY21" s="543"/>
      <c r="GZ21" s="543"/>
      <c r="HA21" s="543"/>
      <c r="HB21" s="543"/>
      <c r="HC21" s="543"/>
      <c r="HD21" s="543"/>
      <c r="HE21" s="543"/>
      <c r="HF21" s="543"/>
      <c r="HG21" s="543"/>
      <c r="HH21" s="543"/>
      <c r="HI21" s="543"/>
      <c r="HJ21" s="543"/>
      <c r="HK21" s="543"/>
      <c r="HL21" s="543"/>
      <c r="HM21" s="543"/>
      <c r="HN21" s="543"/>
      <c r="HO21" s="543"/>
      <c r="HP21" s="543"/>
      <c r="HQ21" s="543"/>
      <c r="HR21" s="543"/>
      <c r="HS21" s="543"/>
      <c r="HT21" s="543"/>
      <c r="HU21" s="543"/>
      <c r="HV21" s="543"/>
      <c r="HW21" s="543"/>
      <c r="HX21" s="543"/>
      <c r="HY21" s="543"/>
      <c r="HZ21" s="543"/>
      <c r="IA21" s="543"/>
      <c r="IB21" s="543"/>
      <c r="IC21" s="543"/>
      <c r="ID21" s="543"/>
      <c r="IE21" s="543"/>
      <c r="IF21" s="543"/>
      <c r="IG21" s="543"/>
      <c r="IH21" s="543"/>
      <c r="II21" s="543"/>
      <c r="IJ21" s="543"/>
      <c r="IK21" s="543"/>
      <c r="IL21" s="543"/>
      <c r="IM21" s="543"/>
      <c r="IN21" s="543"/>
      <c r="IO21" s="543"/>
      <c r="IP21" s="543"/>
      <c r="IQ21" s="543"/>
      <c r="IR21" s="543"/>
      <c r="IS21" s="543"/>
      <c r="IT21" s="543"/>
      <c r="IU21" s="543"/>
      <c r="IV21" s="543"/>
    </row>
    <row r="22" spans="1:256" ht="24" customHeight="1" thickBot="1">
      <c r="A22" s="1472" t="s">
        <v>31</v>
      </c>
      <c r="B22" s="538" t="s">
        <v>339</v>
      </c>
      <c r="C22" s="539">
        <f>C23+C24</f>
        <v>230</v>
      </c>
      <c r="D22" s="540"/>
      <c r="E22" s="540"/>
      <c r="F22" s="540"/>
      <c r="G22" s="540"/>
      <c r="H22" s="540"/>
      <c r="I22" s="540"/>
      <c r="J22" s="540"/>
      <c r="K22" s="540"/>
      <c r="L22" s="540"/>
      <c r="M22" s="737">
        <v>35898.5786</v>
      </c>
      <c r="N22" s="738">
        <v>2513.6715</v>
      </c>
      <c r="O22" s="542">
        <v>38412.3</v>
      </c>
      <c r="P22" s="758">
        <v>42150.4</v>
      </c>
      <c r="Q22" s="759">
        <v>45751</v>
      </c>
      <c r="R22" s="543"/>
      <c r="S22" s="543"/>
      <c r="T22" s="543"/>
      <c r="U22" s="543"/>
      <c r="V22" s="543"/>
      <c r="W22" s="543"/>
      <c r="X22" s="543"/>
      <c r="Y22" s="543"/>
      <c r="Z22" s="543"/>
      <c r="AA22" s="543"/>
      <c r="AB22" s="543"/>
      <c r="AC22" s="543"/>
      <c r="AD22" s="543"/>
      <c r="AE22" s="543"/>
      <c r="AF22" s="543"/>
      <c r="AG22" s="543"/>
      <c r="AH22" s="543"/>
      <c r="AI22" s="543"/>
      <c r="AJ22" s="543"/>
      <c r="AK22" s="543"/>
      <c r="AL22" s="543"/>
      <c r="AM22" s="543"/>
      <c r="AN22" s="543"/>
      <c r="AO22" s="543"/>
      <c r="AP22" s="543"/>
      <c r="AQ22" s="543"/>
      <c r="AR22" s="543"/>
      <c r="AS22" s="543"/>
      <c r="AT22" s="543"/>
      <c r="AU22" s="543"/>
      <c r="AV22" s="543"/>
      <c r="AW22" s="543"/>
      <c r="AX22" s="543"/>
      <c r="AY22" s="543"/>
      <c r="AZ22" s="543"/>
      <c r="BA22" s="543"/>
      <c r="BB22" s="543"/>
      <c r="BC22" s="543"/>
      <c r="BD22" s="543"/>
      <c r="BE22" s="543"/>
      <c r="BF22" s="543"/>
      <c r="BG22" s="543"/>
      <c r="BH22" s="543"/>
      <c r="BI22" s="543"/>
      <c r="BJ22" s="543"/>
      <c r="BK22" s="543"/>
      <c r="BL22" s="543"/>
      <c r="BM22" s="543"/>
      <c r="BN22" s="543"/>
      <c r="BO22" s="543"/>
      <c r="BP22" s="543"/>
      <c r="BQ22" s="543"/>
      <c r="BR22" s="543"/>
      <c r="BS22" s="543"/>
      <c r="BT22" s="543"/>
      <c r="BU22" s="543"/>
      <c r="BV22" s="543"/>
      <c r="BW22" s="543"/>
      <c r="BX22" s="543"/>
      <c r="BY22" s="543"/>
      <c r="BZ22" s="543"/>
      <c r="CA22" s="543"/>
      <c r="CB22" s="543"/>
      <c r="CC22" s="543"/>
      <c r="CD22" s="543"/>
      <c r="CE22" s="543"/>
      <c r="CF22" s="543"/>
      <c r="CG22" s="543"/>
      <c r="CH22" s="543"/>
      <c r="CI22" s="543"/>
      <c r="CJ22" s="543"/>
      <c r="CK22" s="543"/>
      <c r="CL22" s="543"/>
      <c r="CM22" s="543"/>
      <c r="CN22" s="543"/>
      <c r="CO22" s="543"/>
      <c r="CP22" s="543"/>
      <c r="CQ22" s="543"/>
      <c r="CR22" s="543"/>
      <c r="CS22" s="543"/>
      <c r="CT22" s="543"/>
      <c r="CU22" s="543"/>
      <c r="CV22" s="543"/>
      <c r="CW22" s="543"/>
      <c r="CX22" s="543"/>
      <c r="CY22" s="543"/>
      <c r="CZ22" s="543"/>
      <c r="DA22" s="543"/>
      <c r="DB22" s="543"/>
      <c r="DC22" s="543"/>
      <c r="DD22" s="543"/>
      <c r="DE22" s="543"/>
      <c r="DF22" s="543"/>
      <c r="DG22" s="543"/>
      <c r="DH22" s="543"/>
      <c r="DI22" s="543"/>
      <c r="DJ22" s="543"/>
      <c r="DK22" s="543"/>
      <c r="DL22" s="543"/>
      <c r="DM22" s="543"/>
      <c r="DN22" s="543"/>
      <c r="DO22" s="543"/>
      <c r="DP22" s="543"/>
      <c r="DQ22" s="543"/>
      <c r="DR22" s="543"/>
      <c r="DS22" s="543"/>
      <c r="DT22" s="543"/>
      <c r="DU22" s="543"/>
      <c r="DV22" s="543"/>
      <c r="DW22" s="543"/>
      <c r="DX22" s="543"/>
      <c r="DY22" s="543"/>
      <c r="DZ22" s="543"/>
      <c r="EA22" s="543"/>
      <c r="EB22" s="543"/>
      <c r="EC22" s="543"/>
      <c r="ED22" s="543"/>
      <c r="EE22" s="543"/>
      <c r="EF22" s="543"/>
      <c r="EG22" s="543"/>
      <c r="EH22" s="543"/>
      <c r="EI22" s="543"/>
      <c r="EJ22" s="543"/>
      <c r="EK22" s="543"/>
      <c r="EL22" s="543"/>
      <c r="EM22" s="543"/>
      <c r="EN22" s="543"/>
      <c r="EO22" s="543"/>
      <c r="EP22" s="543"/>
      <c r="EQ22" s="543"/>
      <c r="ER22" s="543"/>
      <c r="ES22" s="543"/>
      <c r="ET22" s="543"/>
      <c r="EU22" s="543"/>
      <c r="EV22" s="543"/>
      <c r="EW22" s="543"/>
      <c r="EX22" s="543"/>
      <c r="EY22" s="543"/>
      <c r="EZ22" s="543"/>
      <c r="FA22" s="543"/>
      <c r="FB22" s="543"/>
      <c r="FC22" s="543"/>
      <c r="FD22" s="543"/>
      <c r="FE22" s="543"/>
      <c r="FF22" s="543"/>
      <c r="FG22" s="543"/>
      <c r="FH22" s="543"/>
      <c r="FI22" s="543"/>
      <c r="FJ22" s="543"/>
      <c r="FK22" s="543"/>
      <c r="FL22" s="543"/>
      <c r="FM22" s="543"/>
      <c r="FN22" s="543"/>
      <c r="FO22" s="543"/>
      <c r="FP22" s="543"/>
      <c r="FQ22" s="543"/>
      <c r="FR22" s="543"/>
      <c r="FS22" s="543"/>
      <c r="FT22" s="543"/>
      <c r="FU22" s="543"/>
      <c r="FV22" s="543"/>
      <c r="FW22" s="543"/>
      <c r="FX22" s="543"/>
      <c r="FY22" s="543"/>
      <c r="FZ22" s="543"/>
      <c r="GA22" s="543"/>
      <c r="GB22" s="543"/>
      <c r="GC22" s="543"/>
      <c r="GD22" s="543"/>
      <c r="GE22" s="543"/>
      <c r="GF22" s="543"/>
      <c r="GG22" s="543"/>
      <c r="GH22" s="543"/>
      <c r="GI22" s="543"/>
      <c r="GJ22" s="543"/>
      <c r="GK22" s="543"/>
      <c r="GL22" s="543"/>
      <c r="GM22" s="543"/>
      <c r="GN22" s="543"/>
      <c r="GO22" s="543"/>
      <c r="GP22" s="543"/>
      <c r="GQ22" s="543"/>
      <c r="GR22" s="543"/>
      <c r="GS22" s="543"/>
      <c r="GT22" s="543"/>
      <c r="GU22" s="543"/>
      <c r="GV22" s="543"/>
      <c r="GW22" s="543"/>
      <c r="GX22" s="543"/>
      <c r="GY22" s="543"/>
      <c r="GZ22" s="543"/>
      <c r="HA22" s="543"/>
      <c r="HB22" s="543"/>
      <c r="HC22" s="543"/>
      <c r="HD22" s="543"/>
      <c r="HE22" s="543"/>
      <c r="HF22" s="543"/>
      <c r="HG22" s="543"/>
      <c r="HH22" s="543"/>
      <c r="HI22" s="543"/>
      <c r="HJ22" s="543"/>
      <c r="HK22" s="543"/>
      <c r="HL22" s="543"/>
      <c r="HM22" s="543"/>
      <c r="HN22" s="543"/>
      <c r="HO22" s="543"/>
      <c r="HP22" s="543"/>
      <c r="HQ22" s="543"/>
      <c r="HR22" s="543"/>
      <c r="HS22" s="543"/>
      <c r="HT22" s="543"/>
      <c r="HU22" s="543"/>
      <c r="HV22" s="543"/>
      <c r="HW22" s="543"/>
      <c r="HX22" s="543"/>
      <c r="HY22" s="543"/>
      <c r="HZ22" s="543"/>
      <c r="IA22" s="543"/>
      <c r="IB22" s="543"/>
      <c r="IC22" s="543"/>
      <c r="ID22" s="543"/>
      <c r="IE22" s="543"/>
      <c r="IF22" s="543"/>
      <c r="IG22" s="543"/>
      <c r="IH22" s="543"/>
      <c r="II22" s="543"/>
      <c r="IJ22" s="543"/>
      <c r="IK22" s="543"/>
      <c r="IL22" s="543"/>
      <c r="IM22" s="543"/>
      <c r="IN22" s="543"/>
      <c r="IO22" s="543"/>
      <c r="IP22" s="543"/>
      <c r="IQ22" s="543"/>
      <c r="IR22" s="543"/>
      <c r="IS22" s="543"/>
      <c r="IT22" s="543"/>
      <c r="IU22" s="543"/>
      <c r="IV22" s="543"/>
    </row>
    <row r="23" spans="1:256" ht="32.25" customHeight="1">
      <c r="A23" s="1473"/>
      <c r="B23" s="544" t="s">
        <v>340</v>
      </c>
      <c r="C23" s="545">
        <v>192</v>
      </c>
      <c r="D23" s="546">
        <v>11617.8</v>
      </c>
      <c r="E23" s="546">
        <v>82914.56</v>
      </c>
      <c r="F23" s="546">
        <v>19186.57125</v>
      </c>
      <c r="G23" s="546">
        <v>6933.913875</v>
      </c>
      <c r="H23" s="546">
        <v>5588.898749999999</v>
      </c>
      <c r="I23" s="546">
        <v>12275.48925</v>
      </c>
      <c r="J23" s="546"/>
      <c r="K23" s="547">
        <v>138.52</v>
      </c>
      <c r="L23" s="547">
        <v>9.7</v>
      </c>
      <c r="M23" s="739">
        <v>26356.4378</v>
      </c>
      <c r="N23" s="745">
        <v>1845.6384</v>
      </c>
      <c r="O23" s="662">
        <v>28202.1</v>
      </c>
      <c r="P23" s="764">
        <v>31855.4</v>
      </c>
      <c r="Q23" s="765">
        <v>34901.8</v>
      </c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  <c r="IJ23" s="144"/>
      <c r="IK23" s="144"/>
      <c r="IL23" s="144"/>
      <c r="IM23" s="144"/>
      <c r="IN23" s="144"/>
      <c r="IO23" s="144"/>
      <c r="IP23" s="144"/>
      <c r="IQ23" s="144"/>
      <c r="IR23" s="144"/>
      <c r="IS23" s="144"/>
      <c r="IT23" s="144"/>
      <c r="IU23" s="144"/>
      <c r="IV23" s="144"/>
    </row>
    <row r="24" spans="1:256" ht="48.75" customHeight="1" thickBot="1">
      <c r="A24" s="1473"/>
      <c r="B24" s="716" t="s">
        <v>342</v>
      </c>
      <c r="C24" s="561">
        <v>38</v>
      </c>
      <c r="D24" s="562">
        <v>22570.81</v>
      </c>
      <c r="E24" s="562">
        <v>146090.92</v>
      </c>
      <c r="F24" s="562">
        <v>39030.72075</v>
      </c>
      <c r="G24" s="562">
        <v>12429.34875</v>
      </c>
      <c r="H24" s="562">
        <v>9328.334625</v>
      </c>
      <c r="I24" s="562">
        <v>23940.086625</v>
      </c>
      <c r="J24" s="562"/>
      <c r="K24" s="563">
        <v>253.39</v>
      </c>
      <c r="L24" s="563">
        <v>17.74</v>
      </c>
      <c r="M24" s="741">
        <v>9542.1408</v>
      </c>
      <c r="N24" s="750">
        <v>668.0331</v>
      </c>
      <c r="O24" s="717">
        <v>10210.2</v>
      </c>
      <c r="P24" s="766">
        <v>10295</v>
      </c>
      <c r="Q24" s="767">
        <v>10849.2</v>
      </c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  <c r="IJ24" s="144"/>
      <c r="IK24" s="144"/>
      <c r="IL24" s="144"/>
      <c r="IM24" s="144"/>
      <c r="IN24" s="144"/>
      <c r="IO24" s="144"/>
      <c r="IP24" s="144"/>
      <c r="IQ24" s="144"/>
      <c r="IR24" s="144"/>
      <c r="IS24" s="144"/>
      <c r="IT24" s="144"/>
      <c r="IU24" s="144"/>
      <c r="IV24" s="144"/>
    </row>
    <row r="25" spans="1:256" ht="34.5" customHeight="1" thickBot="1">
      <c r="A25" s="719" t="s">
        <v>32</v>
      </c>
      <c r="B25" s="718" t="s">
        <v>340</v>
      </c>
      <c r="C25" s="722">
        <v>385</v>
      </c>
      <c r="D25" s="559">
        <v>11617.8</v>
      </c>
      <c r="E25" s="559">
        <v>82914.56</v>
      </c>
      <c r="F25" s="559">
        <v>19186.57125</v>
      </c>
      <c r="G25" s="559">
        <v>6933.913875</v>
      </c>
      <c r="H25" s="559">
        <v>5588.898749999999</v>
      </c>
      <c r="I25" s="559">
        <v>12275.48925</v>
      </c>
      <c r="J25" s="559"/>
      <c r="K25" s="560">
        <v>138.52</v>
      </c>
      <c r="L25" s="560">
        <v>9.7</v>
      </c>
      <c r="M25" s="743">
        <v>52850.2282</v>
      </c>
      <c r="N25" s="751">
        <v>3700.8894999999998</v>
      </c>
      <c r="O25" s="542">
        <v>56551.1</v>
      </c>
      <c r="P25" s="756">
        <v>75912.3</v>
      </c>
      <c r="Q25" s="757">
        <v>83999.3</v>
      </c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4"/>
      <c r="GQ25" s="144"/>
      <c r="GR25" s="144"/>
      <c r="GS25" s="144"/>
      <c r="GT25" s="144"/>
      <c r="GU25" s="144"/>
      <c r="GV25" s="144"/>
      <c r="GW25" s="144"/>
      <c r="GX25" s="144"/>
      <c r="GY25" s="144"/>
      <c r="GZ25" s="144"/>
      <c r="HA25" s="144"/>
      <c r="HB25" s="144"/>
      <c r="HC25" s="144"/>
      <c r="HD25" s="144"/>
      <c r="HE25" s="144"/>
      <c r="HF25" s="144"/>
      <c r="HG25" s="144"/>
      <c r="HH25" s="144"/>
      <c r="HI25" s="144"/>
      <c r="HJ25" s="144"/>
      <c r="HK25" s="144"/>
      <c r="HL25" s="144"/>
      <c r="HM25" s="144"/>
      <c r="HN25" s="144"/>
      <c r="HO25" s="144"/>
      <c r="HP25" s="144"/>
      <c r="HQ25" s="144"/>
      <c r="HR25" s="144"/>
      <c r="HS25" s="144"/>
      <c r="HT25" s="144"/>
      <c r="HU25" s="144"/>
      <c r="HV25" s="144"/>
      <c r="HW25" s="144"/>
      <c r="HX25" s="144"/>
      <c r="HY25" s="144"/>
      <c r="HZ25" s="144"/>
      <c r="IA25" s="144"/>
      <c r="IB25" s="144"/>
      <c r="IC25" s="144"/>
      <c r="ID25" s="144"/>
      <c r="IE25" s="144"/>
      <c r="IF25" s="144"/>
      <c r="IG25" s="144"/>
      <c r="IH25" s="144"/>
      <c r="II25" s="144"/>
      <c r="IJ25" s="144"/>
      <c r="IK25" s="144"/>
      <c r="IL25" s="144"/>
      <c r="IM25" s="144"/>
      <c r="IN25" s="144"/>
      <c r="IO25" s="144"/>
      <c r="IP25" s="144"/>
      <c r="IQ25" s="144"/>
      <c r="IR25" s="144"/>
      <c r="IS25" s="144"/>
      <c r="IT25" s="144"/>
      <c r="IU25" s="144"/>
      <c r="IV25" s="144"/>
    </row>
    <row r="26" spans="1:256" ht="37.5" customHeight="1" thickBot="1">
      <c r="A26" s="708" t="s">
        <v>33</v>
      </c>
      <c r="B26" s="544" t="s">
        <v>340</v>
      </c>
      <c r="C26" s="723">
        <f>477+175-6</f>
        <v>646</v>
      </c>
      <c r="D26" s="724">
        <f>11617.8</f>
        <v>11617.8</v>
      </c>
      <c r="E26" s="725">
        <f>71453.32+215.03+11246.21</f>
        <v>82914.56</v>
      </c>
      <c r="F26" s="724">
        <f>18949.7+18949.7/12*3*0.05</f>
        <v>19186.57125</v>
      </c>
      <c r="G26" s="724">
        <f>6848.31+6848.31/12*3*0.05</f>
        <v>6933.913875</v>
      </c>
      <c r="H26" s="724">
        <f>5519.9+5519.9/12*3*0.05</f>
        <v>5588.898749999999</v>
      </c>
      <c r="I26" s="724">
        <f>12123.94+12123.94/12*3*0.05</f>
        <v>12275.48925</v>
      </c>
      <c r="J26" s="724"/>
      <c r="K26" s="726">
        <f>ROUND((I26+H26+G26+F26+E26+D26)/1000,2)</f>
        <v>138.52</v>
      </c>
      <c r="L26" s="727">
        <f>ROUND(K26*0.07,2)</f>
        <v>9.7</v>
      </c>
      <c r="M26" s="754">
        <f>(ROUND(K26*C26,1)+30.8)*0.991</f>
        <v>88709.0677</v>
      </c>
      <c r="N26" s="755">
        <f>ROUND(L26*C26,1)*0.991</f>
        <v>6209.8042</v>
      </c>
      <c r="O26" s="728">
        <v>94918.9</v>
      </c>
      <c r="P26" s="771">
        <v>107546</v>
      </c>
      <c r="Q26" s="772">
        <v>118032.2</v>
      </c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4"/>
      <c r="HW26" s="144"/>
      <c r="HX26" s="144"/>
      <c r="HY26" s="144"/>
      <c r="HZ26" s="144"/>
      <c r="IA26" s="144"/>
      <c r="IB26" s="144"/>
      <c r="IC26" s="144"/>
      <c r="ID26" s="144"/>
      <c r="IE26" s="144"/>
      <c r="IF26" s="144"/>
      <c r="IG26" s="144"/>
      <c r="IH26" s="144"/>
      <c r="II26" s="144"/>
      <c r="IJ26" s="144"/>
      <c r="IK26" s="144"/>
      <c r="IL26" s="144"/>
      <c r="IM26" s="144"/>
      <c r="IN26" s="144"/>
      <c r="IO26" s="144"/>
      <c r="IP26" s="144"/>
      <c r="IQ26" s="144"/>
      <c r="IR26" s="144"/>
      <c r="IS26" s="144"/>
      <c r="IT26" s="144"/>
      <c r="IU26" s="144"/>
      <c r="IV26" s="144"/>
    </row>
    <row r="27" spans="1:256" ht="28.5" customHeight="1" thickBot="1">
      <c r="A27" s="564" t="s">
        <v>37</v>
      </c>
      <c r="B27" s="565"/>
      <c r="C27" s="566">
        <f>C10+C17+C13+C20+C14+C21+C22+C25+C26</f>
        <v>8543</v>
      </c>
      <c r="D27" s="567"/>
      <c r="E27" s="568"/>
      <c r="F27" s="567"/>
      <c r="G27" s="567"/>
      <c r="H27" s="567"/>
      <c r="I27" s="567"/>
      <c r="J27" s="567"/>
      <c r="K27" s="567"/>
      <c r="L27" s="567"/>
      <c r="M27" s="752">
        <f>M10+M17+M13+M20+M14+M21+M22+M25+M26</f>
        <v>1145681.026</v>
      </c>
      <c r="N27" s="752">
        <f>N10+N17+N13+N20+N14+N21+N22+N25+N26</f>
        <v>80218.2788</v>
      </c>
      <c r="O27" s="752">
        <f>O10+O17+O13+O20+O14+O21+O22+O25+O26</f>
        <v>1225899.3</v>
      </c>
      <c r="P27" s="773">
        <f>P10+P17+P13+P20+P14+P21+P22+P25+P26</f>
        <v>1404237.3851500002</v>
      </c>
      <c r="Q27" s="773">
        <f>Q10+Q17+Q13+Q20+Q14+Q21+Q22+Q25+Q26</f>
        <v>1549103.3</v>
      </c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69"/>
      <c r="AC27" s="569"/>
      <c r="AD27" s="569"/>
      <c r="AE27" s="569"/>
      <c r="AF27" s="569"/>
      <c r="AG27" s="569"/>
      <c r="AH27" s="569"/>
      <c r="AI27" s="569"/>
      <c r="AJ27" s="569"/>
      <c r="AK27" s="569"/>
      <c r="AL27" s="569"/>
      <c r="AM27" s="569"/>
      <c r="AN27" s="569"/>
      <c r="AO27" s="569"/>
      <c r="AP27" s="569"/>
      <c r="AQ27" s="569"/>
      <c r="AR27" s="569"/>
      <c r="AS27" s="569"/>
      <c r="AT27" s="569"/>
      <c r="AU27" s="569"/>
      <c r="AV27" s="569"/>
      <c r="AW27" s="569"/>
      <c r="AX27" s="569"/>
      <c r="AY27" s="569"/>
      <c r="AZ27" s="569"/>
      <c r="BA27" s="569"/>
      <c r="BB27" s="569"/>
      <c r="BC27" s="569"/>
      <c r="BD27" s="569"/>
      <c r="BE27" s="569"/>
      <c r="BF27" s="569"/>
      <c r="BG27" s="569"/>
      <c r="BH27" s="569"/>
      <c r="BI27" s="569"/>
      <c r="BJ27" s="569"/>
      <c r="BK27" s="569"/>
      <c r="BL27" s="569"/>
      <c r="BM27" s="569"/>
      <c r="BN27" s="569"/>
      <c r="BO27" s="569"/>
      <c r="BP27" s="569"/>
      <c r="BQ27" s="569"/>
      <c r="BR27" s="569"/>
      <c r="BS27" s="569"/>
      <c r="BT27" s="569"/>
      <c r="BU27" s="569"/>
      <c r="BV27" s="569"/>
      <c r="BW27" s="569"/>
      <c r="BX27" s="569"/>
      <c r="BY27" s="569"/>
      <c r="BZ27" s="569"/>
      <c r="CA27" s="569"/>
      <c r="CB27" s="569"/>
      <c r="CC27" s="569"/>
      <c r="CD27" s="569"/>
      <c r="CE27" s="569"/>
      <c r="CF27" s="569"/>
      <c r="CG27" s="569"/>
      <c r="CH27" s="569"/>
      <c r="CI27" s="569"/>
      <c r="CJ27" s="569"/>
      <c r="CK27" s="569"/>
      <c r="CL27" s="569"/>
      <c r="CM27" s="569"/>
      <c r="CN27" s="569"/>
      <c r="CO27" s="569"/>
      <c r="CP27" s="569"/>
      <c r="CQ27" s="569"/>
      <c r="CR27" s="569"/>
      <c r="CS27" s="569"/>
      <c r="CT27" s="569"/>
      <c r="CU27" s="569"/>
      <c r="CV27" s="569"/>
      <c r="CW27" s="569"/>
      <c r="CX27" s="569"/>
      <c r="CY27" s="569"/>
      <c r="CZ27" s="569"/>
      <c r="DA27" s="569"/>
      <c r="DB27" s="569"/>
      <c r="DC27" s="569"/>
      <c r="DD27" s="569"/>
      <c r="DE27" s="569"/>
      <c r="DF27" s="569"/>
      <c r="DG27" s="569"/>
      <c r="DH27" s="569"/>
      <c r="DI27" s="569"/>
      <c r="DJ27" s="569"/>
      <c r="DK27" s="569"/>
      <c r="DL27" s="569"/>
      <c r="DM27" s="569"/>
      <c r="DN27" s="569"/>
      <c r="DO27" s="569"/>
      <c r="DP27" s="569"/>
      <c r="DQ27" s="569"/>
      <c r="DR27" s="569"/>
      <c r="DS27" s="569"/>
      <c r="DT27" s="569"/>
      <c r="DU27" s="569"/>
      <c r="DV27" s="569"/>
      <c r="DW27" s="569"/>
      <c r="DX27" s="569"/>
      <c r="DY27" s="569"/>
      <c r="DZ27" s="569"/>
      <c r="EA27" s="569"/>
      <c r="EB27" s="569"/>
      <c r="EC27" s="569"/>
      <c r="ED27" s="569"/>
      <c r="EE27" s="569"/>
      <c r="EF27" s="569"/>
      <c r="EG27" s="569"/>
      <c r="EH27" s="569"/>
      <c r="EI27" s="569"/>
      <c r="EJ27" s="569"/>
      <c r="EK27" s="569"/>
      <c r="EL27" s="569"/>
      <c r="EM27" s="569"/>
      <c r="EN27" s="569"/>
      <c r="EO27" s="569"/>
      <c r="EP27" s="569"/>
      <c r="EQ27" s="569"/>
      <c r="ER27" s="569"/>
      <c r="ES27" s="569"/>
      <c r="ET27" s="569"/>
      <c r="EU27" s="569"/>
      <c r="EV27" s="569"/>
      <c r="EW27" s="569"/>
      <c r="EX27" s="569"/>
      <c r="EY27" s="569"/>
      <c r="EZ27" s="569"/>
      <c r="FA27" s="569"/>
      <c r="FB27" s="569"/>
      <c r="FC27" s="569"/>
      <c r="FD27" s="569"/>
      <c r="FE27" s="569"/>
      <c r="FF27" s="569"/>
      <c r="FG27" s="569"/>
      <c r="FH27" s="569"/>
      <c r="FI27" s="569"/>
      <c r="FJ27" s="569"/>
      <c r="FK27" s="569"/>
      <c r="FL27" s="569"/>
      <c r="FM27" s="569"/>
      <c r="FN27" s="569"/>
      <c r="FO27" s="569"/>
      <c r="FP27" s="569"/>
      <c r="FQ27" s="569"/>
      <c r="FR27" s="569"/>
      <c r="FS27" s="569"/>
      <c r="FT27" s="569"/>
      <c r="FU27" s="569"/>
      <c r="FV27" s="569"/>
      <c r="FW27" s="569"/>
      <c r="FX27" s="569"/>
      <c r="FY27" s="569"/>
      <c r="FZ27" s="569"/>
      <c r="GA27" s="569"/>
      <c r="GB27" s="569"/>
      <c r="GC27" s="569"/>
      <c r="GD27" s="569"/>
      <c r="GE27" s="569"/>
      <c r="GF27" s="569"/>
      <c r="GG27" s="569"/>
      <c r="GH27" s="569"/>
      <c r="GI27" s="569"/>
      <c r="GJ27" s="569"/>
      <c r="GK27" s="569"/>
      <c r="GL27" s="569"/>
      <c r="GM27" s="569"/>
      <c r="GN27" s="569"/>
      <c r="GO27" s="569"/>
      <c r="GP27" s="569"/>
      <c r="GQ27" s="569"/>
      <c r="GR27" s="569"/>
      <c r="GS27" s="569"/>
      <c r="GT27" s="569"/>
      <c r="GU27" s="569"/>
      <c r="GV27" s="569"/>
      <c r="GW27" s="569"/>
      <c r="GX27" s="569"/>
      <c r="GY27" s="569"/>
      <c r="GZ27" s="569"/>
      <c r="HA27" s="569"/>
      <c r="HB27" s="569"/>
      <c r="HC27" s="569"/>
      <c r="HD27" s="569"/>
      <c r="HE27" s="569"/>
      <c r="HF27" s="569"/>
      <c r="HG27" s="569"/>
      <c r="HH27" s="569"/>
      <c r="HI27" s="569"/>
      <c r="HJ27" s="569"/>
      <c r="HK27" s="569"/>
      <c r="HL27" s="569"/>
      <c r="HM27" s="569"/>
      <c r="HN27" s="569"/>
      <c r="HO27" s="569"/>
      <c r="HP27" s="569"/>
      <c r="HQ27" s="569"/>
      <c r="HR27" s="569"/>
      <c r="HS27" s="569"/>
      <c r="HT27" s="569"/>
      <c r="HU27" s="569"/>
      <c r="HV27" s="569"/>
      <c r="HW27" s="569"/>
      <c r="HX27" s="569"/>
      <c r="HY27" s="569"/>
      <c r="HZ27" s="569"/>
      <c r="IA27" s="569"/>
      <c r="IB27" s="569"/>
      <c r="IC27" s="569"/>
      <c r="ID27" s="569"/>
      <c r="IE27" s="569"/>
      <c r="IF27" s="569"/>
      <c r="IG27" s="569"/>
      <c r="IH27" s="569"/>
      <c r="II27" s="569"/>
      <c r="IJ27" s="569"/>
      <c r="IK27" s="569"/>
      <c r="IL27" s="569"/>
      <c r="IM27" s="569"/>
      <c r="IN27" s="569"/>
      <c r="IO27" s="569"/>
      <c r="IP27" s="569"/>
      <c r="IQ27" s="569"/>
      <c r="IR27" s="569"/>
      <c r="IS27" s="569"/>
      <c r="IT27" s="569"/>
      <c r="IU27" s="569"/>
      <c r="IV27" s="569"/>
    </row>
    <row r="28" ht="15">
      <c r="O28" s="753"/>
    </row>
  </sheetData>
  <sheetProtection/>
  <mergeCells count="10">
    <mergeCell ref="A17:A19"/>
    <mergeCell ref="A14:A16"/>
    <mergeCell ref="A22:A24"/>
    <mergeCell ref="A3:Q3"/>
    <mergeCell ref="A4:Q4"/>
    <mergeCell ref="A1:Q1"/>
    <mergeCell ref="A2:Q2"/>
    <mergeCell ref="A6:L6"/>
    <mergeCell ref="A9:O9"/>
    <mergeCell ref="A10:A12"/>
  </mergeCells>
  <printOptions/>
  <pageMargins left="0.1968503937007874" right="0.1968503937007874" top="0.6692913385826772" bottom="0.31496062992125984" header="0.31496062992125984" footer="0.31496062992125984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24.625" style="571" customWidth="1"/>
    <col min="2" max="2" width="17.125" style="571" customWidth="1"/>
    <col min="3" max="3" width="16.25390625" style="571" customWidth="1"/>
    <col min="4" max="7" width="20.375" style="571" hidden="1" customWidth="1"/>
    <col min="8" max="8" width="17.75390625" style="571" customWidth="1"/>
    <col min="9" max="9" width="13.875" style="571" customWidth="1"/>
    <col min="10" max="10" width="14.375" style="571" customWidth="1"/>
    <col min="11" max="11" width="15.00390625" style="571" customWidth="1"/>
    <col min="12" max="12" width="15.125" style="571" customWidth="1"/>
    <col min="13" max="13" width="16.75390625" style="571" hidden="1" customWidth="1"/>
    <col min="14" max="14" width="14.25390625" style="571" hidden="1" customWidth="1"/>
    <col min="15" max="15" width="16.75390625" style="571" hidden="1" customWidth="1"/>
    <col min="16" max="16" width="16.375" style="571" hidden="1" customWidth="1"/>
    <col min="17" max="17" width="12.25390625" style="571" hidden="1" customWidth="1"/>
    <col min="18" max="18" width="9.125" style="571" hidden="1" customWidth="1"/>
    <col min="19" max="19" width="11.875" style="571" hidden="1" customWidth="1"/>
    <col min="20" max="20" width="15.25390625" style="571" hidden="1" customWidth="1"/>
    <col min="21" max="21" width="18.75390625" style="571" hidden="1" customWidth="1"/>
    <col min="22" max="22" width="11.00390625" style="571" hidden="1" customWidth="1"/>
    <col min="23" max="23" width="14.375" style="571" customWidth="1"/>
    <col min="24" max="24" width="12.625" style="571" customWidth="1"/>
    <col min="25" max="26" width="10.00390625" style="571" customWidth="1"/>
    <col min="27" max="27" width="10.875" style="571" customWidth="1"/>
    <col min="28" max="16384" width="9.125" style="571" customWidth="1"/>
  </cols>
  <sheetData>
    <row r="1" spans="1:24" s="797" customFormat="1" ht="18" customHeight="1">
      <c r="A1" s="1433" t="s">
        <v>274</v>
      </c>
      <c r="B1" s="1433"/>
      <c r="C1" s="1433"/>
      <c r="D1" s="1433"/>
      <c r="E1" s="1433"/>
      <c r="F1" s="1433"/>
      <c r="G1" s="1433"/>
      <c r="H1" s="1433"/>
      <c r="I1" s="1433"/>
      <c r="J1" s="1433"/>
      <c r="K1" s="1433"/>
      <c r="L1" s="1433"/>
      <c r="M1" s="1433"/>
      <c r="N1" s="1433"/>
      <c r="O1" s="1433"/>
      <c r="P1" s="1433"/>
      <c r="Q1" s="1433"/>
      <c r="R1" s="1433"/>
      <c r="S1" s="1433"/>
      <c r="T1" s="1433"/>
      <c r="U1" s="1433"/>
      <c r="V1" s="1433"/>
      <c r="W1" s="1433"/>
      <c r="X1" s="1433"/>
    </row>
    <row r="2" spans="1:27" s="797" customFormat="1" ht="15.75" customHeight="1" hidden="1">
      <c r="A2" s="1445" t="s">
        <v>502</v>
      </c>
      <c r="B2" s="1445"/>
      <c r="C2" s="1445"/>
      <c r="D2" s="1445"/>
      <c r="E2" s="1445"/>
      <c r="F2" s="1445"/>
      <c r="G2" s="1445"/>
      <c r="H2" s="1445"/>
      <c r="I2" s="1445"/>
      <c r="J2" s="1445"/>
      <c r="K2" s="1445"/>
      <c r="L2" s="1445"/>
      <c r="M2" s="1445"/>
      <c r="N2" s="1445"/>
      <c r="O2" s="1445"/>
      <c r="P2" s="1445"/>
      <c r="Q2" s="1445"/>
      <c r="R2" s="1445"/>
      <c r="S2" s="1445"/>
      <c r="T2" s="1445"/>
      <c r="U2" s="1445"/>
      <c r="V2" s="1445"/>
      <c r="W2" s="1445"/>
      <c r="X2" s="1445"/>
      <c r="Y2" s="709"/>
      <c r="Z2" s="709"/>
      <c r="AA2" s="709"/>
    </row>
    <row r="3" spans="1:27" s="797" customFormat="1" ht="18" customHeight="1">
      <c r="A3" s="1445"/>
      <c r="B3" s="1445"/>
      <c r="C3" s="1445"/>
      <c r="D3" s="1445"/>
      <c r="E3" s="1445"/>
      <c r="F3" s="1445"/>
      <c r="G3" s="1445"/>
      <c r="H3" s="1445"/>
      <c r="I3" s="1445"/>
      <c r="J3" s="1445"/>
      <c r="K3" s="1445"/>
      <c r="L3" s="1445"/>
      <c r="M3" s="1445"/>
      <c r="N3" s="1445"/>
      <c r="O3" s="1445"/>
      <c r="P3" s="1445"/>
      <c r="Q3" s="1445"/>
      <c r="R3" s="1445"/>
      <c r="S3" s="1445"/>
      <c r="T3" s="1445"/>
      <c r="U3" s="1445"/>
      <c r="V3" s="1445"/>
      <c r="W3" s="1445"/>
      <c r="X3" s="1445"/>
      <c r="Y3" s="796"/>
      <c r="Z3" s="796"/>
      <c r="AA3" s="796"/>
    </row>
    <row r="4" spans="1:31" s="799" customFormat="1" ht="20.25" customHeight="1">
      <c r="A4" s="1290" t="s">
        <v>503</v>
      </c>
      <c r="B4" s="1290"/>
      <c r="C4" s="1290"/>
      <c r="D4" s="1290"/>
      <c r="E4" s="1290"/>
      <c r="F4" s="1290"/>
      <c r="G4" s="1290"/>
      <c r="H4" s="1290"/>
      <c r="I4" s="1290"/>
      <c r="J4" s="1290"/>
      <c r="K4" s="1290"/>
      <c r="L4" s="1290"/>
      <c r="M4" s="1290"/>
      <c r="N4" s="1290"/>
      <c r="O4" s="1290"/>
      <c r="P4" s="1290"/>
      <c r="Q4" s="1290"/>
      <c r="R4" s="1290"/>
      <c r="S4" s="1290"/>
      <c r="T4" s="1290"/>
      <c r="U4" s="1290"/>
      <c r="V4" s="1290"/>
      <c r="W4" s="1290"/>
      <c r="X4" s="1290"/>
      <c r="Y4" s="798"/>
      <c r="Z4" s="774"/>
      <c r="AA4" s="709"/>
      <c r="AB4" s="709"/>
      <c r="AC4" s="709"/>
      <c r="AD4" s="709"/>
      <c r="AE4" s="709"/>
    </row>
    <row r="5" spans="1:31" s="799" customFormat="1" ht="20.25" customHeight="1">
      <c r="A5" s="1290" t="s">
        <v>504</v>
      </c>
      <c r="B5" s="1290"/>
      <c r="C5" s="1290"/>
      <c r="D5" s="1290"/>
      <c r="E5" s="1290"/>
      <c r="F5" s="1290"/>
      <c r="G5" s="1290"/>
      <c r="H5" s="1290"/>
      <c r="I5" s="1290"/>
      <c r="J5" s="1290"/>
      <c r="K5" s="1290"/>
      <c r="L5" s="1290"/>
      <c r="M5" s="1290"/>
      <c r="N5" s="1290"/>
      <c r="O5" s="1290"/>
      <c r="P5" s="1290"/>
      <c r="Q5" s="1290"/>
      <c r="R5" s="1290"/>
      <c r="S5" s="1290"/>
      <c r="T5" s="1290"/>
      <c r="U5" s="1290"/>
      <c r="V5" s="1290"/>
      <c r="W5" s="1290"/>
      <c r="X5" s="1290"/>
      <c r="Y5" s="798"/>
      <c r="Z5" s="774"/>
      <c r="AA5" s="709"/>
      <c r="AB5" s="709"/>
      <c r="AC5" s="709"/>
      <c r="AD5" s="709"/>
      <c r="AE5" s="709"/>
    </row>
    <row r="6" spans="1:27" ht="18.75">
      <c r="A6" s="1433" t="s">
        <v>505</v>
      </c>
      <c r="B6" s="1433"/>
      <c r="C6" s="1433"/>
      <c r="D6" s="1433"/>
      <c r="E6" s="1433"/>
      <c r="F6" s="1433"/>
      <c r="G6" s="1433"/>
      <c r="H6" s="1433"/>
      <c r="I6" s="1433"/>
      <c r="J6" s="1433"/>
      <c r="K6" s="1433"/>
      <c r="L6" s="1433"/>
      <c r="M6" s="1433"/>
      <c r="N6" s="1433"/>
      <c r="O6" s="1433"/>
      <c r="P6" s="1433"/>
      <c r="Q6" s="1433"/>
      <c r="R6" s="1433"/>
      <c r="S6" s="1433"/>
      <c r="T6" s="1433"/>
      <c r="U6" s="1433"/>
      <c r="V6" s="1433"/>
      <c r="W6" s="1433"/>
      <c r="X6" s="1433"/>
      <c r="Y6" s="570"/>
      <c r="Z6" s="570"/>
      <c r="AA6" s="570"/>
    </row>
    <row r="7" spans="1:28" ht="36" customHeight="1" thickBot="1">
      <c r="A7" s="572"/>
      <c r="B7" s="572"/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3"/>
      <c r="O7" s="573"/>
      <c r="P7" s="573"/>
      <c r="Q7" s="573"/>
      <c r="R7" s="573"/>
      <c r="S7" s="573" t="s">
        <v>343</v>
      </c>
      <c r="T7" s="573"/>
      <c r="U7" s="573"/>
      <c r="V7" s="573"/>
      <c r="W7" s="573"/>
      <c r="X7" s="800" t="s">
        <v>261</v>
      </c>
      <c r="Y7" s="573"/>
      <c r="Z7" s="573"/>
      <c r="AA7" s="573"/>
      <c r="AB7" s="573"/>
    </row>
    <row r="8" spans="1:256" ht="98.25" customHeight="1" thickBot="1">
      <c r="A8" s="529" t="s">
        <v>29</v>
      </c>
      <c r="B8" s="529" t="s">
        <v>344</v>
      </c>
      <c r="C8" s="529" t="s">
        <v>345</v>
      </c>
      <c r="D8" s="529"/>
      <c r="E8" s="529"/>
      <c r="F8" s="529"/>
      <c r="G8" s="529"/>
      <c r="H8" s="529" t="s">
        <v>346</v>
      </c>
      <c r="I8" s="529" t="s">
        <v>347</v>
      </c>
      <c r="J8" s="529" t="s">
        <v>333</v>
      </c>
      <c r="K8" s="529" t="s">
        <v>348</v>
      </c>
      <c r="L8" s="321" t="s">
        <v>335</v>
      </c>
      <c r="M8" s="606" t="s">
        <v>349</v>
      </c>
      <c r="N8" s="607" t="s">
        <v>350</v>
      </c>
      <c r="O8" s="607" t="s">
        <v>351</v>
      </c>
      <c r="P8" s="608" t="s">
        <v>352</v>
      </c>
      <c r="Q8" s="607" t="s">
        <v>353</v>
      </c>
      <c r="R8" s="609" t="s">
        <v>354</v>
      </c>
      <c r="S8" s="610" t="s">
        <v>355</v>
      </c>
      <c r="T8" s="607" t="s">
        <v>356</v>
      </c>
      <c r="U8" s="607" t="s">
        <v>357</v>
      </c>
      <c r="V8" s="611"/>
      <c r="W8" s="612" t="s">
        <v>336</v>
      </c>
      <c r="X8" s="321" t="s">
        <v>337</v>
      </c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8"/>
      <c r="DG8" s="308"/>
      <c r="DH8" s="308"/>
      <c r="DI8" s="308"/>
      <c r="DJ8" s="308"/>
      <c r="DK8" s="308"/>
      <c r="DL8" s="308"/>
      <c r="DM8" s="308"/>
      <c r="DN8" s="308"/>
      <c r="DO8" s="308"/>
      <c r="DP8" s="308"/>
      <c r="DQ8" s="308"/>
      <c r="DR8" s="308"/>
      <c r="DS8" s="308"/>
      <c r="DT8" s="308"/>
      <c r="DU8" s="308"/>
      <c r="DV8" s="308"/>
      <c r="DW8" s="308"/>
      <c r="DX8" s="308"/>
      <c r="DY8" s="308"/>
      <c r="DZ8" s="308"/>
      <c r="EA8" s="308"/>
      <c r="EB8" s="308"/>
      <c r="EC8" s="308"/>
      <c r="ED8" s="308"/>
      <c r="EE8" s="308"/>
      <c r="EF8" s="308"/>
      <c r="EG8" s="308"/>
      <c r="EH8" s="308"/>
      <c r="EI8" s="308"/>
      <c r="EJ8" s="308"/>
      <c r="EK8" s="308"/>
      <c r="EL8" s="308"/>
      <c r="EM8" s="308"/>
      <c r="EN8" s="308"/>
      <c r="EO8" s="308"/>
      <c r="EP8" s="308"/>
      <c r="EQ8" s="308"/>
      <c r="ER8" s="308"/>
      <c r="ES8" s="308"/>
      <c r="ET8" s="308"/>
      <c r="EU8" s="308"/>
      <c r="EV8" s="308"/>
      <c r="EW8" s="308"/>
      <c r="EX8" s="308"/>
      <c r="EY8" s="308"/>
      <c r="EZ8" s="308"/>
      <c r="FA8" s="308"/>
      <c r="FB8" s="308"/>
      <c r="FC8" s="308"/>
      <c r="FD8" s="308"/>
      <c r="FE8" s="308"/>
      <c r="FF8" s="308"/>
      <c r="FG8" s="308"/>
      <c r="FH8" s="308"/>
      <c r="FI8" s="308"/>
      <c r="FJ8" s="308"/>
      <c r="FK8" s="308"/>
      <c r="FL8" s="308"/>
      <c r="FM8" s="308"/>
      <c r="FN8" s="308"/>
      <c r="FO8" s="308"/>
      <c r="FP8" s="308"/>
      <c r="FQ8" s="308"/>
      <c r="FR8" s="308"/>
      <c r="FS8" s="308"/>
      <c r="FT8" s="308"/>
      <c r="FU8" s="308"/>
      <c r="FV8" s="308"/>
      <c r="FW8" s="308"/>
      <c r="FX8" s="308"/>
      <c r="FY8" s="308"/>
      <c r="FZ8" s="308"/>
      <c r="GA8" s="308"/>
      <c r="GB8" s="308"/>
      <c r="GC8" s="308"/>
      <c r="GD8" s="308"/>
      <c r="GE8" s="308"/>
      <c r="GF8" s="308"/>
      <c r="GG8" s="308"/>
      <c r="GH8" s="308"/>
      <c r="GI8" s="308"/>
      <c r="GJ8" s="308"/>
      <c r="GK8" s="308"/>
      <c r="GL8" s="308"/>
      <c r="GM8" s="308"/>
      <c r="GN8" s="308"/>
      <c r="GO8" s="308"/>
      <c r="GP8" s="308"/>
      <c r="GQ8" s="308"/>
      <c r="GR8" s="308"/>
      <c r="GS8" s="308"/>
      <c r="GT8" s="308"/>
      <c r="GU8" s="308"/>
      <c r="GV8" s="308"/>
      <c r="GW8" s="308"/>
      <c r="GX8" s="308"/>
      <c r="GY8" s="308"/>
      <c r="GZ8" s="308"/>
      <c r="HA8" s="308"/>
      <c r="HB8" s="308"/>
      <c r="HC8" s="308"/>
      <c r="HD8" s="308"/>
      <c r="HE8" s="308"/>
      <c r="HF8" s="308"/>
      <c r="HG8" s="308"/>
      <c r="HH8" s="308"/>
      <c r="HI8" s="308"/>
      <c r="HJ8" s="308"/>
      <c r="HK8" s="308"/>
      <c r="HL8" s="308"/>
      <c r="HM8" s="308"/>
      <c r="HN8" s="308"/>
      <c r="HO8" s="308"/>
      <c r="HP8" s="308"/>
      <c r="HQ8" s="308"/>
      <c r="HR8" s="308"/>
      <c r="HS8" s="308"/>
      <c r="HT8" s="308"/>
      <c r="HU8" s="308"/>
      <c r="HV8" s="308"/>
      <c r="HW8" s="308"/>
      <c r="HX8" s="308"/>
      <c r="HY8" s="308"/>
      <c r="HZ8" s="308"/>
      <c r="IA8" s="308"/>
      <c r="IB8" s="308"/>
      <c r="IC8" s="308"/>
      <c r="ID8" s="308"/>
      <c r="IE8" s="308"/>
      <c r="IF8" s="308"/>
      <c r="IG8" s="308"/>
      <c r="IH8" s="308"/>
      <c r="II8" s="308"/>
      <c r="IJ8" s="308"/>
      <c r="IK8" s="308"/>
      <c r="IL8" s="308"/>
      <c r="IM8" s="308"/>
      <c r="IN8" s="308"/>
      <c r="IO8" s="308"/>
      <c r="IP8" s="308"/>
      <c r="IQ8" s="308"/>
      <c r="IR8" s="308"/>
      <c r="IS8" s="308"/>
      <c r="IT8" s="308"/>
      <c r="IU8" s="308"/>
      <c r="IV8" s="308"/>
    </row>
    <row r="9" spans="1:24" ht="16.5" thickBot="1">
      <c r="A9" s="574">
        <v>1</v>
      </c>
      <c r="B9" s="574">
        <v>2</v>
      </c>
      <c r="C9" s="574">
        <v>3</v>
      </c>
      <c r="D9" s="574"/>
      <c r="E9" s="574"/>
      <c r="F9" s="574"/>
      <c r="G9" s="574"/>
      <c r="H9" s="574">
        <v>4</v>
      </c>
      <c r="I9" s="574">
        <v>5</v>
      </c>
      <c r="J9" s="574">
        <v>6</v>
      </c>
      <c r="K9" s="574">
        <v>7</v>
      </c>
      <c r="L9" s="575">
        <v>8</v>
      </c>
      <c r="M9" s="576"/>
      <c r="N9" s="577">
        <v>2</v>
      </c>
      <c r="O9" s="577">
        <v>3</v>
      </c>
      <c r="P9" s="578">
        <v>4</v>
      </c>
      <c r="Q9" s="575">
        <v>4</v>
      </c>
      <c r="R9" s="579">
        <v>5</v>
      </c>
      <c r="S9" s="580">
        <v>6</v>
      </c>
      <c r="T9" s="577">
        <v>5</v>
      </c>
      <c r="U9" s="577">
        <v>6</v>
      </c>
      <c r="V9" s="581"/>
      <c r="W9" s="581">
        <v>9</v>
      </c>
      <c r="X9" s="605">
        <v>10</v>
      </c>
    </row>
    <row r="10" spans="1:26" ht="15.75">
      <c r="A10" s="582" t="s">
        <v>35</v>
      </c>
      <c r="B10" s="583">
        <f>23968.7/2319.44</f>
        <v>10.333830579795123</v>
      </c>
      <c r="C10" s="583">
        <f>2319.44/10652</f>
        <v>0.21774690199023658</v>
      </c>
      <c r="D10" s="584">
        <v>8019403.93</v>
      </c>
      <c r="E10" s="584">
        <v>1527505.51</v>
      </c>
      <c r="F10" s="584">
        <v>14320364.16</v>
      </c>
      <c r="G10" s="584">
        <v>10652</v>
      </c>
      <c r="H10" s="585">
        <f aca="true" t="shared" si="0" ref="H10:H18">(D10+E10+F10)/G10/1000</f>
        <v>2.240637776943297</v>
      </c>
      <c r="I10" s="585">
        <f>H10*0.302</f>
        <v>0.6766726086368756</v>
      </c>
      <c r="J10" s="586">
        <f>1014556.9-658.2-1.6</f>
        <v>1013897.1000000001</v>
      </c>
      <c r="K10" s="587">
        <f>J10*0.05</f>
        <v>50694.85500000001</v>
      </c>
      <c r="L10" s="775">
        <f>J10+K10</f>
        <v>1064591.955</v>
      </c>
      <c r="M10" s="776">
        <v>10641</v>
      </c>
      <c r="N10" s="777">
        <v>39508.9</v>
      </c>
      <c r="O10" s="777">
        <f>40694.2</f>
        <v>40694.2</v>
      </c>
      <c r="P10" s="778">
        <f>N10*5+O10*7</f>
        <v>482403.89999999997</v>
      </c>
      <c r="Q10" s="777">
        <v>1385.1</v>
      </c>
      <c r="R10" s="779">
        <f aca="true" t="shared" si="1" ref="R10:R18">Q10*1.084</f>
        <v>1501.4484</v>
      </c>
      <c r="S10" s="780">
        <f>R10*12</f>
        <v>18017.3808</v>
      </c>
      <c r="T10" s="777">
        <f>6914.3+9680.1+0.5</f>
        <v>16594.9</v>
      </c>
      <c r="U10" s="777">
        <f>P10+T10</f>
        <v>498998.8</v>
      </c>
      <c r="V10" s="588"/>
      <c r="W10" s="781">
        <v>1138510</v>
      </c>
      <c r="X10" s="782">
        <v>1290751.3</v>
      </c>
      <c r="Y10" s="589"/>
      <c r="Z10" s="590"/>
    </row>
    <row r="11" spans="1:26" ht="31.5">
      <c r="A11" s="591" t="s">
        <v>479</v>
      </c>
      <c r="B11" s="585">
        <f>1760.99435/180.84</f>
        <v>9.737858604291086</v>
      </c>
      <c r="C11" s="592">
        <f>180.84/614</f>
        <v>0.29452768729641693</v>
      </c>
      <c r="D11" s="593">
        <v>589745.3</v>
      </c>
      <c r="E11" s="593">
        <v>112332.44</v>
      </c>
      <c r="F11" s="593">
        <v>1053116.61</v>
      </c>
      <c r="G11" s="593">
        <v>614</v>
      </c>
      <c r="H11" s="585">
        <f t="shared" si="0"/>
        <v>2.858622719869707</v>
      </c>
      <c r="I11" s="585">
        <f>H11*0.302</f>
        <v>0.8633040614006515</v>
      </c>
      <c r="J11" s="586">
        <v>73056.3</v>
      </c>
      <c r="K11" s="587">
        <f>J11*0.05</f>
        <v>3652.8150000000005</v>
      </c>
      <c r="L11" s="775">
        <f>J11+K11</f>
        <v>76709.115</v>
      </c>
      <c r="M11" s="783">
        <v>521</v>
      </c>
      <c r="N11" s="784" t="s">
        <v>358</v>
      </c>
      <c r="O11" s="777">
        <v>2792.2</v>
      </c>
      <c r="P11" s="778" t="e">
        <f>N11*5+O11*7</f>
        <v>#VALUE!</v>
      </c>
      <c r="Q11" s="784">
        <v>153.4</v>
      </c>
      <c r="R11" s="785">
        <f>Q11*1.084</f>
        <v>166.28560000000002</v>
      </c>
      <c r="S11" s="786">
        <f>R11*12</f>
        <v>1995.4272</v>
      </c>
      <c r="T11" s="784">
        <f>1086.1+775.8</f>
        <v>1861.8999999999999</v>
      </c>
      <c r="U11" s="784" t="e">
        <f>P11+T11</f>
        <v>#VALUE!</v>
      </c>
      <c r="V11" s="588"/>
      <c r="W11" s="787">
        <v>81162.8</v>
      </c>
      <c r="X11" s="784">
        <v>92117.6</v>
      </c>
      <c r="Y11" s="589"/>
      <c r="Z11" s="590"/>
    </row>
    <row r="12" spans="1:26" ht="31.5">
      <c r="A12" s="591" t="s">
        <v>501</v>
      </c>
      <c r="B12" s="585">
        <f>1043.5511/109.2</f>
        <v>9.556328754578754</v>
      </c>
      <c r="C12" s="592">
        <f>109.2/392</f>
        <v>0.2785714285714286</v>
      </c>
      <c r="D12" s="593">
        <v>349255.57</v>
      </c>
      <c r="E12" s="593">
        <v>66524.87</v>
      </c>
      <c r="F12" s="593">
        <v>623670.66</v>
      </c>
      <c r="G12" s="593">
        <v>392</v>
      </c>
      <c r="H12" s="585">
        <f t="shared" si="0"/>
        <v>2.6516609693877555</v>
      </c>
      <c r="I12" s="585">
        <f>H12*0.302</f>
        <v>0.8008016127551022</v>
      </c>
      <c r="J12" s="586">
        <v>42962.7</v>
      </c>
      <c r="K12" s="587">
        <f>J12*0.05</f>
        <v>2148.1349999999998</v>
      </c>
      <c r="L12" s="775">
        <f>J12+K12</f>
        <v>45110.835</v>
      </c>
      <c r="M12" s="783">
        <v>388</v>
      </c>
      <c r="N12" s="784">
        <v>1836.9</v>
      </c>
      <c r="O12" s="777">
        <v>1892</v>
      </c>
      <c r="P12" s="778">
        <f>N12*5+O12*7</f>
        <v>22428.5</v>
      </c>
      <c r="Q12" s="784">
        <v>117.5</v>
      </c>
      <c r="R12" s="785">
        <f>Q12*1.084</f>
        <v>127.37</v>
      </c>
      <c r="S12" s="786">
        <f>R12*12</f>
        <v>1528.44</v>
      </c>
      <c r="T12" s="784">
        <f>580.6+812.9+0.5</f>
        <v>1394</v>
      </c>
      <c r="U12" s="784">
        <f>P12+T12</f>
        <v>23822.5</v>
      </c>
      <c r="V12" s="588"/>
      <c r="W12" s="787">
        <v>47504.1</v>
      </c>
      <c r="X12" s="784">
        <v>53915.9</v>
      </c>
      <c r="Y12" s="589"/>
      <c r="Z12" s="590"/>
    </row>
    <row r="13" spans="1:26" ht="15.75">
      <c r="A13" s="591" t="s">
        <v>0</v>
      </c>
      <c r="B13" s="585">
        <f>3478.5/355.32</f>
        <v>9.789766970618034</v>
      </c>
      <c r="C13" s="592">
        <f>355.32/1217</f>
        <v>0.29196384552177485</v>
      </c>
      <c r="D13" s="592">
        <v>1164388.79</v>
      </c>
      <c r="E13" s="592">
        <v>221788.34</v>
      </c>
      <c r="F13" s="592">
        <v>2079265.7</v>
      </c>
      <c r="G13" s="592">
        <v>1217</v>
      </c>
      <c r="H13" s="585">
        <f t="shared" si="0"/>
        <v>2.8475290304026295</v>
      </c>
      <c r="I13" s="585">
        <f aca="true" t="shared" si="2" ref="I13:I18">H13*0.302</f>
        <v>0.8599537671815941</v>
      </c>
      <c r="J13" s="586">
        <v>171110.3</v>
      </c>
      <c r="K13" s="587">
        <f aca="true" t="shared" si="3" ref="K13:K18">J13*0.05</f>
        <v>8555.515</v>
      </c>
      <c r="L13" s="775">
        <f aca="true" t="shared" si="4" ref="L13:L18">J13+K13</f>
        <v>179665.815</v>
      </c>
      <c r="M13" s="783">
        <f>765+69+97+184+24+5+32+5+12</f>
        <v>1193</v>
      </c>
      <c r="N13" s="784">
        <v>5965.3</v>
      </c>
      <c r="O13" s="777">
        <v>6144.2</v>
      </c>
      <c r="P13" s="778">
        <f aca="true" t="shared" si="5" ref="P13:P18">N13*5+O13*7</f>
        <v>72835.9</v>
      </c>
      <c r="Q13" s="784">
        <v>384.1</v>
      </c>
      <c r="R13" s="785">
        <f t="shared" si="1"/>
        <v>416.36440000000005</v>
      </c>
      <c r="S13" s="786">
        <f aca="true" t="shared" si="6" ref="S13:S18">R13*12</f>
        <v>4996.372800000001</v>
      </c>
      <c r="T13" s="784">
        <f>1887.1+2641.9-0.2</f>
        <v>4528.8</v>
      </c>
      <c r="U13" s="784">
        <f aca="true" t="shared" si="7" ref="U13:U18">P13+T13</f>
        <v>77364.7</v>
      </c>
      <c r="V13" s="588"/>
      <c r="W13" s="788">
        <v>189826.7</v>
      </c>
      <c r="X13" s="789">
        <v>214364.5</v>
      </c>
      <c r="Y13" s="589"/>
      <c r="Z13" s="590"/>
    </row>
    <row r="14" spans="1:26" ht="18" customHeight="1">
      <c r="A14" s="591" t="s">
        <v>1</v>
      </c>
      <c r="B14" s="585">
        <f>1679.44018/182.99</f>
        <v>9.177770260669982</v>
      </c>
      <c r="C14" s="592">
        <f>182.99/485</f>
        <v>0.377298969072165</v>
      </c>
      <c r="D14" s="593">
        <v>562107.9</v>
      </c>
      <c r="E14" s="593">
        <v>107068.17</v>
      </c>
      <c r="F14" s="593">
        <v>1033.764</v>
      </c>
      <c r="G14" s="593">
        <v>485</v>
      </c>
      <c r="H14" s="585">
        <f t="shared" si="0"/>
        <v>1.3818759463917527</v>
      </c>
      <c r="I14" s="585">
        <f t="shared" si="2"/>
        <v>0.4173265358103093</v>
      </c>
      <c r="J14" s="586">
        <v>90735</v>
      </c>
      <c r="K14" s="587">
        <f t="shared" si="3"/>
        <v>4536.75</v>
      </c>
      <c r="L14" s="775">
        <f t="shared" si="4"/>
        <v>95271.75</v>
      </c>
      <c r="M14" s="783">
        <v>456</v>
      </c>
      <c r="N14" s="784">
        <v>2517.7</v>
      </c>
      <c r="O14" s="777">
        <v>2593.2</v>
      </c>
      <c r="P14" s="778">
        <f t="shared" si="5"/>
        <v>30740.899999999998</v>
      </c>
      <c r="Q14" s="784">
        <v>169.7</v>
      </c>
      <c r="R14" s="785">
        <f t="shared" si="1"/>
        <v>183.9548</v>
      </c>
      <c r="S14" s="786">
        <f t="shared" si="6"/>
        <v>2207.4576</v>
      </c>
      <c r="T14" s="784">
        <f>1311.1+1835.6+0.4</f>
        <v>3147.1</v>
      </c>
      <c r="U14" s="784">
        <f t="shared" si="7"/>
        <v>33888</v>
      </c>
      <c r="V14" s="588"/>
      <c r="W14" s="788">
        <v>99685.4</v>
      </c>
      <c r="X14" s="789">
        <v>112735.6</v>
      </c>
      <c r="Y14" s="589"/>
      <c r="Z14" s="590"/>
    </row>
    <row r="15" spans="1:26" ht="15.75">
      <c r="A15" s="591" t="s">
        <v>36</v>
      </c>
      <c r="B15" s="585">
        <f>2269.961/236.74</f>
        <v>9.58841344935372</v>
      </c>
      <c r="C15" s="592">
        <f>236.74/1017</f>
        <v>0.2327826941986234</v>
      </c>
      <c r="D15" s="593">
        <v>760018.93</v>
      </c>
      <c r="E15" s="593">
        <v>144765.51</v>
      </c>
      <c r="F15" s="593">
        <v>1357176.66</v>
      </c>
      <c r="G15" s="593">
        <v>1017</v>
      </c>
      <c r="H15" s="585">
        <f t="shared" si="0"/>
        <v>2.224150540806293</v>
      </c>
      <c r="I15" s="585">
        <f t="shared" si="2"/>
        <v>0.6716934633235004</v>
      </c>
      <c r="J15" s="586">
        <v>106250.5</v>
      </c>
      <c r="K15" s="587">
        <f t="shared" si="3"/>
        <v>5312.525000000001</v>
      </c>
      <c r="L15" s="775">
        <f t="shared" si="4"/>
        <v>111563.025</v>
      </c>
      <c r="M15" s="783">
        <v>933</v>
      </c>
      <c r="N15" s="784">
        <v>4231.9</v>
      </c>
      <c r="O15" s="777">
        <v>4358.8</v>
      </c>
      <c r="P15" s="778">
        <f t="shared" si="5"/>
        <v>51671.100000000006</v>
      </c>
      <c r="Q15" s="784">
        <v>286.6</v>
      </c>
      <c r="R15" s="785">
        <f t="shared" si="1"/>
        <v>310.67440000000005</v>
      </c>
      <c r="S15" s="786">
        <f t="shared" si="6"/>
        <v>3728.0928000000004</v>
      </c>
      <c r="T15" s="784">
        <f>1338.5+1873.9-0.1</f>
        <v>3212.3</v>
      </c>
      <c r="U15" s="784">
        <f t="shared" si="7"/>
        <v>54883.40000000001</v>
      </c>
      <c r="V15" s="588"/>
      <c r="W15" s="788">
        <v>117893.9</v>
      </c>
      <c r="X15" s="789">
        <v>133806.3</v>
      </c>
      <c r="Y15" s="589"/>
      <c r="Z15" s="590"/>
    </row>
    <row r="16" spans="1:26" ht="15.75">
      <c r="A16" s="591" t="s">
        <v>31</v>
      </c>
      <c r="B16" s="585">
        <f>1961.848036/205.25</f>
        <v>9.558333914738125</v>
      </c>
      <c r="C16" s="592">
        <f>205.25/741</f>
        <v>0.27699055330634276</v>
      </c>
      <c r="D16" s="593">
        <v>656156.94</v>
      </c>
      <c r="E16" s="593">
        <v>124982.27</v>
      </c>
      <c r="F16" s="593">
        <v>1171708.821</v>
      </c>
      <c r="G16" s="593">
        <v>741</v>
      </c>
      <c r="H16" s="585">
        <f t="shared" si="0"/>
        <v>2.635422443994602</v>
      </c>
      <c r="I16" s="585">
        <f t="shared" si="2"/>
        <v>0.7958975780863699</v>
      </c>
      <c r="J16" s="586">
        <v>68404.7</v>
      </c>
      <c r="K16" s="587">
        <f t="shared" si="3"/>
        <v>3420.235</v>
      </c>
      <c r="L16" s="775">
        <f t="shared" si="4"/>
        <v>71824.935</v>
      </c>
      <c r="M16" s="783">
        <v>725</v>
      </c>
      <c r="N16" s="784">
        <v>2899.1</v>
      </c>
      <c r="O16" s="777">
        <v>2986.1</v>
      </c>
      <c r="P16" s="778">
        <f t="shared" si="5"/>
        <v>35398.2</v>
      </c>
      <c r="Q16" s="784">
        <v>213.8</v>
      </c>
      <c r="R16" s="785">
        <f t="shared" si="1"/>
        <v>231.75920000000002</v>
      </c>
      <c r="S16" s="786">
        <f t="shared" si="6"/>
        <v>2781.1104000000005</v>
      </c>
      <c r="T16" s="784">
        <f>913.8+1279.3+0.2</f>
        <v>2193.2999999999997</v>
      </c>
      <c r="U16" s="784">
        <f t="shared" si="7"/>
        <v>37591.5</v>
      </c>
      <c r="V16" s="588"/>
      <c r="W16" s="788">
        <v>76072.5</v>
      </c>
      <c r="X16" s="789">
        <v>86340.3</v>
      </c>
      <c r="Y16" s="589"/>
      <c r="Z16" s="590"/>
    </row>
    <row r="17" spans="1:26" ht="15.75">
      <c r="A17" s="591" t="s">
        <v>32</v>
      </c>
      <c r="B17" s="585">
        <f>2526.51435/279.65</f>
        <v>9.03455873413195</v>
      </c>
      <c r="C17" s="592">
        <f>279.65/864</f>
        <v>0.32366898148148143</v>
      </c>
      <c r="D17" s="593">
        <v>845851.22</v>
      </c>
      <c r="E17" s="593">
        <v>161114.52</v>
      </c>
      <c r="F17" s="593">
        <v>1510448.61</v>
      </c>
      <c r="G17" s="593">
        <v>864</v>
      </c>
      <c r="H17" s="585">
        <f t="shared" si="0"/>
        <v>2.913674016203704</v>
      </c>
      <c r="I17" s="585">
        <f t="shared" si="2"/>
        <v>0.8799295528935186</v>
      </c>
      <c r="J17" s="586">
        <v>110463.4</v>
      </c>
      <c r="K17" s="587">
        <f t="shared" si="3"/>
        <v>5523.17</v>
      </c>
      <c r="L17" s="775">
        <f t="shared" si="4"/>
        <v>115986.56999999999</v>
      </c>
      <c r="M17" s="783">
        <v>861</v>
      </c>
      <c r="N17" s="784">
        <v>3757.4</v>
      </c>
      <c r="O17" s="777">
        <v>3870.2</v>
      </c>
      <c r="P17" s="778">
        <f t="shared" si="5"/>
        <v>45878.399999999994</v>
      </c>
      <c r="Q17" s="784">
        <v>240.3</v>
      </c>
      <c r="R17" s="785">
        <f t="shared" si="1"/>
        <v>260.4852</v>
      </c>
      <c r="S17" s="786">
        <f t="shared" si="6"/>
        <v>3125.8224</v>
      </c>
      <c r="T17" s="784">
        <f>1186.1+1660.6</f>
        <v>2846.7</v>
      </c>
      <c r="U17" s="784">
        <f t="shared" si="7"/>
        <v>48725.09999999999</v>
      </c>
      <c r="V17" s="588"/>
      <c r="W17" s="788">
        <v>122689.8</v>
      </c>
      <c r="X17" s="789">
        <v>138496.7</v>
      </c>
      <c r="Y17" s="589"/>
      <c r="Z17" s="590"/>
    </row>
    <row r="18" spans="1:26" ht="16.5" thickBot="1">
      <c r="A18" s="594" t="s">
        <v>33</v>
      </c>
      <c r="B18" s="595">
        <f>3398.81211/350.15</f>
        <v>9.706731714979295</v>
      </c>
      <c r="C18" s="596">
        <f>350.15/1284</f>
        <v>0.272702492211838</v>
      </c>
      <c r="D18" s="597">
        <v>1138002.47</v>
      </c>
      <c r="E18" s="597">
        <v>216762.38</v>
      </c>
      <c r="F18" s="597">
        <v>2032147.27</v>
      </c>
      <c r="G18" s="597">
        <v>1284</v>
      </c>
      <c r="H18" s="585">
        <f t="shared" si="0"/>
        <v>2.6377820249221187</v>
      </c>
      <c r="I18" s="585">
        <f t="shared" si="2"/>
        <v>0.7966101715264798</v>
      </c>
      <c r="J18" s="586">
        <v>150979.8</v>
      </c>
      <c r="K18" s="587">
        <f t="shared" si="3"/>
        <v>7548.99</v>
      </c>
      <c r="L18" s="775">
        <f t="shared" si="4"/>
        <v>158528.78999999998</v>
      </c>
      <c r="M18" s="790">
        <v>1272</v>
      </c>
      <c r="N18" s="791">
        <v>5427.1</v>
      </c>
      <c r="O18" s="777">
        <v>5589.9</v>
      </c>
      <c r="P18" s="778">
        <f t="shared" si="5"/>
        <v>66264.79999999999</v>
      </c>
      <c r="Q18" s="791">
        <v>351.4</v>
      </c>
      <c r="R18" s="792">
        <f t="shared" si="1"/>
        <v>380.9176</v>
      </c>
      <c r="S18" s="793">
        <f t="shared" si="6"/>
        <v>4571.0112</v>
      </c>
      <c r="T18" s="791">
        <f>1712.6+2397.6+0.4</f>
        <v>4110.599999999999</v>
      </c>
      <c r="U18" s="791">
        <f t="shared" si="7"/>
        <v>70375.4</v>
      </c>
      <c r="V18" s="588"/>
      <c r="W18" s="794">
        <v>167461.9</v>
      </c>
      <c r="X18" s="795">
        <v>189770.5</v>
      </c>
      <c r="Y18" s="589"/>
      <c r="Z18" s="590"/>
    </row>
    <row r="19" spans="1:24" ht="24" customHeight="1" thickBot="1">
      <c r="A19" s="613" t="s">
        <v>37</v>
      </c>
      <c r="B19" s="614"/>
      <c r="C19" s="614"/>
      <c r="D19" s="614"/>
      <c r="E19" s="614"/>
      <c r="F19" s="614"/>
      <c r="G19" s="614"/>
      <c r="H19" s="614"/>
      <c r="I19" s="614"/>
      <c r="J19" s="598">
        <f>SUM(J10:J18)</f>
        <v>1827859.8</v>
      </c>
      <c r="K19" s="598">
        <f>SUM(K10:K18)</f>
        <v>91392.99</v>
      </c>
      <c r="L19" s="598">
        <f>SUM(L10:L18)</f>
        <v>1919252.79</v>
      </c>
      <c r="M19" s="599">
        <f aca="true" t="shared" si="8" ref="M19:X19">SUM(M10:M18)</f>
        <v>16990</v>
      </c>
      <c r="N19" s="599">
        <f t="shared" si="8"/>
        <v>66144.3</v>
      </c>
      <c r="O19" s="599">
        <f t="shared" si="8"/>
        <v>70920.79999999999</v>
      </c>
      <c r="P19" s="599" t="e">
        <f t="shared" si="8"/>
        <v>#VALUE!</v>
      </c>
      <c r="Q19" s="599">
        <f t="shared" si="8"/>
        <v>3301.9</v>
      </c>
      <c r="R19" s="599">
        <f t="shared" si="8"/>
        <v>3579.2595999999994</v>
      </c>
      <c r="S19" s="599">
        <f t="shared" si="8"/>
        <v>42951.11519999999</v>
      </c>
      <c r="T19" s="599">
        <f t="shared" si="8"/>
        <v>39889.6</v>
      </c>
      <c r="U19" s="599" t="e">
        <f t="shared" si="8"/>
        <v>#VALUE!</v>
      </c>
      <c r="V19" s="599">
        <f t="shared" si="8"/>
        <v>0</v>
      </c>
      <c r="W19" s="604">
        <f t="shared" si="8"/>
        <v>2040807.0999999999</v>
      </c>
      <c r="X19" s="598">
        <f t="shared" si="8"/>
        <v>2312298.7</v>
      </c>
    </row>
    <row r="20" spans="12:24" ht="15">
      <c r="L20" s="600"/>
      <c r="M20" s="600"/>
      <c r="N20" s="600"/>
      <c r="O20" s="600"/>
      <c r="P20" s="600"/>
      <c r="Q20" s="600"/>
      <c r="R20" s="600"/>
      <c r="S20" s="600"/>
      <c r="T20" s="600"/>
      <c r="U20" s="600"/>
      <c r="V20" s="600"/>
      <c r="W20" s="600"/>
      <c r="X20" s="600"/>
    </row>
    <row r="21" ht="15">
      <c r="L21" s="601"/>
    </row>
    <row r="22" spans="1:11" ht="15.75">
      <c r="A22" s="374"/>
      <c r="B22" s="602"/>
      <c r="C22" s="602"/>
      <c r="D22" s="603"/>
      <c r="E22" s="602"/>
      <c r="F22" s="602"/>
      <c r="G22" s="377"/>
      <c r="J22" s="377"/>
      <c r="K22" s="377"/>
    </row>
  </sheetData>
  <sheetProtection/>
  <mergeCells count="5">
    <mergeCell ref="A2:X3"/>
    <mergeCell ref="A4:X4"/>
    <mergeCell ref="A5:X5"/>
    <mergeCell ref="A1:X1"/>
    <mergeCell ref="A6:X6"/>
  </mergeCells>
  <printOptions/>
  <pageMargins left="0.17" right="0.21" top="0.7480314960629921" bottom="0.7480314960629921" header="0.31496062992125984" footer="0.31496062992125984"/>
  <pageSetup fitToHeight="0" fitToWidth="1" horizontalDpi="600" verticalDpi="600" orientation="landscape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zoomScalePageLayoutView="0" workbookViewId="0" topLeftCell="A1">
      <selection activeCell="E15" sqref="E15"/>
    </sheetView>
  </sheetViews>
  <sheetFormatPr defaultColWidth="23.75390625" defaultRowHeight="12.75"/>
  <cols>
    <col min="1" max="1" width="22.75390625" style="236" customWidth="1"/>
    <col min="2" max="2" width="10.00390625" style="236" customWidth="1"/>
    <col min="3" max="3" width="11.125" style="236" customWidth="1"/>
    <col min="4" max="4" width="12.625" style="236" customWidth="1"/>
    <col min="5" max="5" width="10.375" style="236" customWidth="1"/>
    <col min="6" max="6" width="10.875" style="236" customWidth="1"/>
    <col min="7" max="7" width="9.625" style="236" customWidth="1"/>
    <col min="8" max="8" width="10.875" style="236" customWidth="1"/>
    <col min="9" max="9" width="22.125" style="236" hidden="1" customWidth="1"/>
    <col min="10" max="11" width="14.375" style="236" customWidth="1"/>
    <col min="12" max="12" width="15.125" style="236" customWidth="1"/>
    <col min="13" max="247" width="9.125" style="236" customWidth="1"/>
    <col min="248" max="248" width="18.625" style="236" customWidth="1"/>
    <col min="249" max="249" width="12.875" style="236" customWidth="1"/>
    <col min="250" max="250" width="13.25390625" style="236" customWidth="1"/>
    <col min="251" max="251" width="12.625" style="236" customWidth="1"/>
    <col min="252" max="252" width="10.375" style="236" customWidth="1"/>
    <col min="253" max="253" width="9.00390625" style="236" customWidth="1"/>
    <col min="254" max="254" width="14.00390625" style="236" customWidth="1"/>
    <col min="255" max="255" width="0" style="236" hidden="1" customWidth="1"/>
    <col min="256" max="16384" width="23.75390625" style="236" customWidth="1"/>
  </cols>
  <sheetData>
    <row r="1" spans="1:12" s="892" customFormat="1" ht="18.75">
      <c r="A1" s="1481" t="s">
        <v>34</v>
      </c>
      <c r="B1" s="1481"/>
      <c r="C1" s="1481"/>
      <c r="D1" s="1481"/>
      <c r="E1" s="1481"/>
      <c r="F1" s="1481"/>
      <c r="G1" s="1481"/>
      <c r="H1" s="1481"/>
      <c r="I1" s="1481"/>
      <c r="J1" s="1481"/>
      <c r="K1" s="1481"/>
      <c r="L1" s="1481"/>
    </row>
    <row r="2" spans="1:12" s="892" customFormat="1" ht="76.5" customHeight="1">
      <c r="A2" s="1482" t="s">
        <v>519</v>
      </c>
      <c r="B2" s="1482"/>
      <c r="C2" s="1482"/>
      <c r="D2" s="1482"/>
      <c r="E2" s="1482"/>
      <c r="F2" s="1482"/>
      <c r="G2" s="1482"/>
      <c r="H2" s="1482"/>
      <c r="I2" s="1482"/>
      <c r="J2" s="1482"/>
      <c r="K2" s="1482"/>
      <c r="L2" s="1482"/>
    </row>
    <row r="3" spans="1:12" ht="12.75">
      <c r="A3" s="1483"/>
      <c r="B3" s="1483"/>
      <c r="C3" s="1483"/>
      <c r="D3" s="1483"/>
      <c r="E3" s="1483"/>
      <c r="F3" s="1483"/>
      <c r="G3" s="1483"/>
      <c r="H3" s="1483"/>
      <c r="I3" s="1483"/>
      <c r="J3" s="1483"/>
      <c r="K3" s="1483"/>
      <c r="L3" s="1483"/>
    </row>
    <row r="4" spans="1:13" ht="16.5" thickBot="1">
      <c r="A4" s="615"/>
      <c r="B4" s="615"/>
      <c r="C4" s="615"/>
      <c r="D4" s="615"/>
      <c r="E4" s="615"/>
      <c r="F4" s="615"/>
      <c r="G4" s="615"/>
      <c r="H4" s="615"/>
      <c r="I4" s="615"/>
      <c r="J4" s="615"/>
      <c r="L4" s="806" t="s">
        <v>175</v>
      </c>
      <c r="M4" s="616"/>
    </row>
    <row r="5" spans="1:12" s="893" customFormat="1" ht="90.75" customHeight="1">
      <c r="A5" s="1486" t="s">
        <v>29</v>
      </c>
      <c r="B5" s="1484" t="s">
        <v>359</v>
      </c>
      <c r="C5" s="1485"/>
      <c r="D5" s="1479" t="s">
        <v>360</v>
      </c>
      <c r="E5" s="1490" t="s">
        <v>361</v>
      </c>
      <c r="F5" s="1485"/>
      <c r="G5" s="1478" t="s">
        <v>362</v>
      </c>
      <c r="H5" s="1478"/>
      <c r="I5" s="1479" t="s">
        <v>363</v>
      </c>
      <c r="J5" s="1488" t="s">
        <v>520</v>
      </c>
      <c r="K5" s="1488" t="s">
        <v>521</v>
      </c>
      <c r="L5" s="1488" t="s">
        <v>522</v>
      </c>
    </row>
    <row r="6" spans="1:12" s="893" customFormat="1" ht="16.5" thickBot="1">
      <c r="A6" s="1487"/>
      <c r="B6" s="894" t="s">
        <v>364</v>
      </c>
      <c r="C6" s="895" t="s">
        <v>365</v>
      </c>
      <c r="D6" s="1480"/>
      <c r="E6" s="895" t="s">
        <v>364</v>
      </c>
      <c r="F6" s="895" t="s">
        <v>365</v>
      </c>
      <c r="G6" s="895" t="s">
        <v>364</v>
      </c>
      <c r="H6" s="895" t="s">
        <v>365</v>
      </c>
      <c r="I6" s="1480"/>
      <c r="J6" s="1489"/>
      <c r="K6" s="1489"/>
      <c r="L6" s="1489"/>
    </row>
    <row r="7" spans="1:12" s="893" customFormat="1" ht="15.75">
      <c r="A7" s="896" t="s">
        <v>180</v>
      </c>
      <c r="B7" s="897">
        <f>25*1.05</f>
        <v>26.25</v>
      </c>
      <c r="C7" s="898">
        <f>10*1.05</f>
        <v>10.5</v>
      </c>
      <c r="D7" s="899">
        <f>E7+F7</f>
        <v>9994</v>
      </c>
      <c r="E7" s="899">
        <v>4246</v>
      </c>
      <c r="F7" s="899">
        <v>5748</v>
      </c>
      <c r="G7" s="900">
        <f>170*0.9</f>
        <v>153</v>
      </c>
      <c r="H7" s="901">
        <f>170*0.8</f>
        <v>136</v>
      </c>
      <c r="I7" s="902">
        <f>((B7*E7*G7)+(C7*F7*H7))/1000</f>
        <v>25261.1415</v>
      </c>
      <c r="J7" s="903">
        <v>25261.2</v>
      </c>
      <c r="K7" s="904">
        <v>25542</v>
      </c>
      <c r="L7" s="905">
        <f>K7</f>
        <v>25542</v>
      </c>
    </row>
    <row r="8" spans="1:12" s="893" customFormat="1" ht="31.5">
      <c r="A8" s="906" t="s">
        <v>479</v>
      </c>
      <c r="B8" s="897">
        <f>25*1.05</f>
        <v>26.25</v>
      </c>
      <c r="C8" s="898">
        <f>10*1.05</f>
        <v>10.5</v>
      </c>
      <c r="D8" s="907">
        <f>E8+F8</f>
        <v>548</v>
      </c>
      <c r="E8" s="907">
        <v>249</v>
      </c>
      <c r="F8" s="907">
        <v>299</v>
      </c>
      <c r="G8" s="900">
        <f>170*0.9</f>
        <v>153</v>
      </c>
      <c r="H8" s="901">
        <f>170*0.8</f>
        <v>136</v>
      </c>
      <c r="I8" s="902">
        <f>((B8*E8*G8)+(C8*F8*H8))/1000</f>
        <v>1427.01825</v>
      </c>
      <c r="J8" s="908">
        <v>1427</v>
      </c>
      <c r="K8" s="904">
        <v>1442.7</v>
      </c>
      <c r="L8" s="905">
        <f>K8</f>
        <v>1442.7</v>
      </c>
    </row>
    <row r="9" spans="1:12" s="893" customFormat="1" ht="31.5">
      <c r="A9" s="906" t="s">
        <v>501</v>
      </c>
      <c r="B9" s="897">
        <f aca="true" t="shared" si="0" ref="B9:B16">25*1.05</f>
        <v>26.25</v>
      </c>
      <c r="C9" s="898">
        <f aca="true" t="shared" si="1" ref="C9:C16">10*1.05</f>
        <v>10.5</v>
      </c>
      <c r="D9" s="907">
        <f>E9+F9</f>
        <v>288</v>
      </c>
      <c r="E9" s="907">
        <v>104</v>
      </c>
      <c r="F9" s="907">
        <v>184</v>
      </c>
      <c r="G9" s="900">
        <f aca="true" t="shared" si="2" ref="G9:G16">170*0.9</f>
        <v>153</v>
      </c>
      <c r="H9" s="901">
        <f aca="true" t="shared" si="3" ref="H9:H16">170*0.8</f>
        <v>136</v>
      </c>
      <c r="I9" s="902">
        <f>((B9*E9*G9)+(C9*F9*H9))/1000</f>
        <v>680.442</v>
      </c>
      <c r="J9" s="908">
        <v>680.5</v>
      </c>
      <c r="K9" s="904">
        <v>688</v>
      </c>
      <c r="L9" s="905">
        <f>K9</f>
        <v>688</v>
      </c>
    </row>
    <row r="10" spans="1:12" s="893" customFormat="1" ht="15.75">
      <c r="A10" s="896"/>
      <c r="B10" s="897"/>
      <c r="C10" s="898"/>
      <c r="D10" s="899"/>
      <c r="E10" s="899"/>
      <c r="F10" s="899"/>
      <c r="G10" s="900"/>
      <c r="H10" s="901"/>
      <c r="I10" s="902"/>
      <c r="J10" s="903"/>
      <c r="K10" s="904"/>
      <c r="L10" s="905"/>
    </row>
    <row r="11" spans="1:12" s="893" customFormat="1" ht="15.75">
      <c r="A11" s="909" t="s">
        <v>0</v>
      </c>
      <c r="B11" s="897">
        <f t="shared" si="0"/>
        <v>26.25</v>
      </c>
      <c r="C11" s="898">
        <f t="shared" si="1"/>
        <v>10.5</v>
      </c>
      <c r="D11" s="907">
        <f aca="true" t="shared" si="4" ref="D11:D16">E11+F11</f>
        <v>1007</v>
      </c>
      <c r="E11" s="907">
        <v>427</v>
      </c>
      <c r="F11" s="907">
        <v>580</v>
      </c>
      <c r="G11" s="900">
        <f t="shared" si="2"/>
        <v>153</v>
      </c>
      <c r="H11" s="901">
        <f t="shared" si="3"/>
        <v>136</v>
      </c>
      <c r="I11" s="902">
        <f aca="true" t="shared" si="5" ref="I11:I16">((B11*E11*G11)+(C11*F11*H11))/1000</f>
        <v>2543.17875</v>
      </c>
      <c r="J11" s="908">
        <v>2543.2</v>
      </c>
      <c r="K11" s="904">
        <v>2571.2</v>
      </c>
      <c r="L11" s="905">
        <f aca="true" t="shared" si="6" ref="L11:L16">K11</f>
        <v>2571.2</v>
      </c>
    </row>
    <row r="12" spans="1:12" s="893" customFormat="1" ht="31.5">
      <c r="A12" s="921" t="s">
        <v>1</v>
      </c>
      <c r="B12" s="897">
        <f t="shared" si="0"/>
        <v>26.25</v>
      </c>
      <c r="C12" s="898">
        <f t="shared" si="1"/>
        <v>10.5</v>
      </c>
      <c r="D12" s="907">
        <f t="shared" si="4"/>
        <v>302</v>
      </c>
      <c r="E12" s="907">
        <v>123</v>
      </c>
      <c r="F12" s="907">
        <v>179</v>
      </c>
      <c r="G12" s="900">
        <f t="shared" si="2"/>
        <v>153</v>
      </c>
      <c r="H12" s="901">
        <f t="shared" si="3"/>
        <v>136</v>
      </c>
      <c r="I12" s="902">
        <f t="shared" si="5"/>
        <v>749.61075</v>
      </c>
      <c r="J12" s="908">
        <v>749.6</v>
      </c>
      <c r="K12" s="904">
        <v>757.8</v>
      </c>
      <c r="L12" s="905">
        <f t="shared" si="6"/>
        <v>757.8</v>
      </c>
    </row>
    <row r="13" spans="1:12" s="893" customFormat="1" ht="15.75">
      <c r="A13" s="909" t="s">
        <v>36</v>
      </c>
      <c r="B13" s="897">
        <f t="shared" si="0"/>
        <v>26.25</v>
      </c>
      <c r="C13" s="898">
        <f t="shared" si="1"/>
        <v>10.5</v>
      </c>
      <c r="D13" s="907">
        <f t="shared" si="4"/>
        <v>781</v>
      </c>
      <c r="E13" s="907">
        <v>337</v>
      </c>
      <c r="F13" s="907">
        <v>444</v>
      </c>
      <c r="G13" s="900">
        <f t="shared" si="2"/>
        <v>153</v>
      </c>
      <c r="H13" s="901">
        <f t="shared" si="3"/>
        <v>136</v>
      </c>
      <c r="I13" s="902">
        <f t="shared" si="5"/>
        <v>1987.50825</v>
      </c>
      <c r="J13" s="908">
        <v>1987.5</v>
      </c>
      <c r="K13" s="904">
        <v>2009.4</v>
      </c>
      <c r="L13" s="905">
        <f t="shared" si="6"/>
        <v>2009.4</v>
      </c>
    </row>
    <row r="14" spans="1:12" s="893" customFormat="1" ht="15.75">
      <c r="A14" s="909" t="s">
        <v>31</v>
      </c>
      <c r="B14" s="897">
        <f t="shared" si="0"/>
        <v>26.25</v>
      </c>
      <c r="C14" s="898">
        <f t="shared" si="1"/>
        <v>10.5</v>
      </c>
      <c r="D14" s="907">
        <f t="shared" si="4"/>
        <v>449</v>
      </c>
      <c r="E14" s="907">
        <v>206</v>
      </c>
      <c r="F14" s="907">
        <v>243</v>
      </c>
      <c r="G14" s="900">
        <f t="shared" si="2"/>
        <v>153</v>
      </c>
      <c r="H14" s="901">
        <f t="shared" si="3"/>
        <v>136</v>
      </c>
      <c r="I14" s="902">
        <f t="shared" si="5"/>
        <v>1174.3515</v>
      </c>
      <c r="J14" s="908">
        <v>1174.4</v>
      </c>
      <c r="K14" s="904">
        <v>1187.3</v>
      </c>
      <c r="L14" s="905">
        <f t="shared" si="6"/>
        <v>1187.3</v>
      </c>
    </row>
    <row r="15" spans="1:12" s="893" customFormat="1" ht="15.75">
      <c r="A15" s="909" t="s">
        <v>32</v>
      </c>
      <c r="B15" s="897">
        <f t="shared" si="0"/>
        <v>26.25</v>
      </c>
      <c r="C15" s="898">
        <f t="shared" si="1"/>
        <v>10.5</v>
      </c>
      <c r="D15" s="907">
        <f t="shared" si="4"/>
        <v>755</v>
      </c>
      <c r="E15" s="907">
        <v>350</v>
      </c>
      <c r="F15" s="907">
        <v>405</v>
      </c>
      <c r="G15" s="900">
        <f t="shared" si="2"/>
        <v>153</v>
      </c>
      <c r="H15" s="901">
        <f t="shared" si="3"/>
        <v>136</v>
      </c>
      <c r="I15" s="902">
        <f t="shared" si="5"/>
        <v>1984.0275</v>
      </c>
      <c r="J15" s="908">
        <v>1984</v>
      </c>
      <c r="K15" s="904">
        <v>2005.8</v>
      </c>
      <c r="L15" s="905">
        <f t="shared" si="6"/>
        <v>2005.8</v>
      </c>
    </row>
    <row r="16" spans="1:12" s="893" customFormat="1" ht="16.5" thickBot="1">
      <c r="A16" s="910" t="s">
        <v>33</v>
      </c>
      <c r="B16" s="897">
        <f t="shared" si="0"/>
        <v>26.25</v>
      </c>
      <c r="C16" s="898">
        <f t="shared" si="1"/>
        <v>10.5</v>
      </c>
      <c r="D16" s="907">
        <f t="shared" si="4"/>
        <v>1034</v>
      </c>
      <c r="E16" s="911">
        <v>420</v>
      </c>
      <c r="F16" s="911">
        <v>614</v>
      </c>
      <c r="G16" s="900">
        <f t="shared" si="2"/>
        <v>153</v>
      </c>
      <c r="H16" s="901">
        <f t="shared" si="3"/>
        <v>136</v>
      </c>
      <c r="I16" s="902">
        <f t="shared" si="5"/>
        <v>2563.617</v>
      </c>
      <c r="J16" s="912">
        <v>2563.6</v>
      </c>
      <c r="K16" s="904">
        <v>2591.8</v>
      </c>
      <c r="L16" s="905">
        <f t="shared" si="6"/>
        <v>2591.8</v>
      </c>
    </row>
    <row r="17" spans="1:256" s="893" customFormat="1" ht="23.25" customHeight="1" thickBot="1">
      <c r="A17" s="913" t="s">
        <v>37</v>
      </c>
      <c r="B17" s="914"/>
      <c r="C17" s="915"/>
      <c r="D17" s="916">
        <f>SUM(D7:D16)</f>
        <v>15158</v>
      </c>
      <c r="E17" s="916">
        <v>6462</v>
      </c>
      <c r="F17" s="916">
        <v>8696</v>
      </c>
      <c r="G17" s="915"/>
      <c r="H17" s="915"/>
      <c r="I17" s="917">
        <f>SUM(I7:I16)</f>
        <v>38370.89549999999</v>
      </c>
      <c r="J17" s="918">
        <f>SUM(J7:J16)</f>
        <v>38371</v>
      </c>
      <c r="K17" s="919">
        <f>SUM(K7:K16)</f>
        <v>38796.00000000001</v>
      </c>
      <c r="L17" s="918">
        <f>SUM(L7:L16)</f>
        <v>38796.00000000001</v>
      </c>
      <c r="M17" s="920"/>
      <c r="N17" s="920"/>
      <c r="O17" s="920"/>
      <c r="P17" s="920"/>
      <c r="Q17" s="920"/>
      <c r="R17" s="920"/>
      <c r="S17" s="920"/>
      <c r="T17" s="920"/>
      <c r="U17" s="920"/>
      <c r="V17" s="920"/>
      <c r="W17" s="920"/>
      <c r="X17" s="920"/>
      <c r="Y17" s="920"/>
      <c r="Z17" s="920"/>
      <c r="AA17" s="920"/>
      <c r="AB17" s="920"/>
      <c r="AC17" s="920"/>
      <c r="AD17" s="920"/>
      <c r="AE17" s="920"/>
      <c r="AF17" s="920"/>
      <c r="AG17" s="920"/>
      <c r="AH17" s="920"/>
      <c r="AI17" s="920"/>
      <c r="AJ17" s="920"/>
      <c r="AK17" s="920"/>
      <c r="AL17" s="920"/>
      <c r="AM17" s="920"/>
      <c r="AN17" s="920"/>
      <c r="AO17" s="920"/>
      <c r="AP17" s="920"/>
      <c r="AQ17" s="920"/>
      <c r="AR17" s="920"/>
      <c r="AS17" s="920"/>
      <c r="AT17" s="920"/>
      <c r="AU17" s="920"/>
      <c r="AV17" s="920"/>
      <c r="AW17" s="920"/>
      <c r="AX17" s="920"/>
      <c r="AY17" s="920"/>
      <c r="AZ17" s="920"/>
      <c r="BA17" s="920"/>
      <c r="BB17" s="920"/>
      <c r="BC17" s="920"/>
      <c r="BD17" s="920"/>
      <c r="BE17" s="920"/>
      <c r="BF17" s="920"/>
      <c r="BG17" s="920"/>
      <c r="BH17" s="920"/>
      <c r="BI17" s="920"/>
      <c r="BJ17" s="920"/>
      <c r="BK17" s="920"/>
      <c r="BL17" s="920"/>
      <c r="BM17" s="920"/>
      <c r="BN17" s="920"/>
      <c r="BO17" s="920"/>
      <c r="BP17" s="920"/>
      <c r="BQ17" s="920"/>
      <c r="BR17" s="920"/>
      <c r="BS17" s="920"/>
      <c r="BT17" s="920"/>
      <c r="BU17" s="920"/>
      <c r="BV17" s="920"/>
      <c r="BW17" s="920"/>
      <c r="BX17" s="920"/>
      <c r="BY17" s="920"/>
      <c r="BZ17" s="920"/>
      <c r="CA17" s="920"/>
      <c r="CB17" s="920"/>
      <c r="CC17" s="920"/>
      <c r="CD17" s="920"/>
      <c r="CE17" s="920"/>
      <c r="CF17" s="920"/>
      <c r="CG17" s="920"/>
      <c r="CH17" s="920"/>
      <c r="CI17" s="920"/>
      <c r="CJ17" s="920"/>
      <c r="CK17" s="920"/>
      <c r="CL17" s="920"/>
      <c r="CM17" s="920"/>
      <c r="CN17" s="920"/>
      <c r="CO17" s="920"/>
      <c r="CP17" s="920"/>
      <c r="CQ17" s="920"/>
      <c r="CR17" s="920"/>
      <c r="CS17" s="920"/>
      <c r="CT17" s="920"/>
      <c r="CU17" s="920"/>
      <c r="CV17" s="920"/>
      <c r="CW17" s="920"/>
      <c r="CX17" s="920"/>
      <c r="CY17" s="920"/>
      <c r="CZ17" s="920"/>
      <c r="DA17" s="920"/>
      <c r="DB17" s="920"/>
      <c r="DC17" s="920"/>
      <c r="DD17" s="920"/>
      <c r="DE17" s="920"/>
      <c r="DF17" s="920"/>
      <c r="DG17" s="920"/>
      <c r="DH17" s="920"/>
      <c r="DI17" s="920"/>
      <c r="DJ17" s="920"/>
      <c r="DK17" s="920"/>
      <c r="DL17" s="920"/>
      <c r="DM17" s="920"/>
      <c r="DN17" s="920"/>
      <c r="DO17" s="920"/>
      <c r="DP17" s="920"/>
      <c r="DQ17" s="920"/>
      <c r="DR17" s="920"/>
      <c r="DS17" s="920"/>
      <c r="DT17" s="920"/>
      <c r="DU17" s="920"/>
      <c r="DV17" s="920"/>
      <c r="DW17" s="920"/>
      <c r="DX17" s="920"/>
      <c r="DY17" s="920"/>
      <c r="DZ17" s="920"/>
      <c r="EA17" s="920"/>
      <c r="EB17" s="920"/>
      <c r="EC17" s="920"/>
      <c r="ED17" s="920"/>
      <c r="EE17" s="920"/>
      <c r="EF17" s="920"/>
      <c r="EG17" s="920"/>
      <c r="EH17" s="920"/>
      <c r="EI17" s="920"/>
      <c r="EJ17" s="920"/>
      <c r="EK17" s="920"/>
      <c r="EL17" s="920"/>
      <c r="EM17" s="920"/>
      <c r="EN17" s="920"/>
      <c r="EO17" s="920"/>
      <c r="EP17" s="920"/>
      <c r="EQ17" s="920"/>
      <c r="ER17" s="920"/>
      <c r="ES17" s="920"/>
      <c r="ET17" s="920"/>
      <c r="EU17" s="920"/>
      <c r="EV17" s="920"/>
      <c r="EW17" s="920"/>
      <c r="EX17" s="920"/>
      <c r="EY17" s="920"/>
      <c r="EZ17" s="920"/>
      <c r="FA17" s="920"/>
      <c r="FB17" s="920"/>
      <c r="FC17" s="920"/>
      <c r="FD17" s="920"/>
      <c r="FE17" s="920"/>
      <c r="FF17" s="920"/>
      <c r="FG17" s="920"/>
      <c r="FH17" s="920"/>
      <c r="FI17" s="920"/>
      <c r="FJ17" s="920"/>
      <c r="FK17" s="920"/>
      <c r="FL17" s="920"/>
      <c r="FM17" s="920"/>
      <c r="FN17" s="920"/>
      <c r="FO17" s="920"/>
      <c r="FP17" s="920"/>
      <c r="FQ17" s="920"/>
      <c r="FR17" s="920"/>
      <c r="FS17" s="920"/>
      <c r="FT17" s="920"/>
      <c r="FU17" s="920"/>
      <c r="FV17" s="920"/>
      <c r="FW17" s="920"/>
      <c r="FX17" s="920"/>
      <c r="FY17" s="920"/>
      <c r="FZ17" s="920"/>
      <c r="GA17" s="920"/>
      <c r="GB17" s="920"/>
      <c r="GC17" s="920"/>
      <c r="GD17" s="920"/>
      <c r="GE17" s="920"/>
      <c r="GF17" s="920"/>
      <c r="GG17" s="920"/>
      <c r="GH17" s="920"/>
      <c r="GI17" s="920"/>
      <c r="GJ17" s="920"/>
      <c r="GK17" s="920"/>
      <c r="GL17" s="920"/>
      <c r="GM17" s="920"/>
      <c r="GN17" s="920"/>
      <c r="GO17" s="920"/>
      <c r="GP17" s="920"/>
      <c r="GQ17" s="920"/>
      <c r="GR17" s="920"/>
      <c r="GS17" s="920"/>
      <c r="GT17" s="920"/>
      <c r="GU17" s="920"/>
      <c r="GV17" s="920"/>
      <c r="GW17" s="920"/>
      <c r="GX17" s="920"/>
      <c r="GY17" s="920"/>
      <c r="GZ17" s="920"/>
      <c r="HA17" s="920"/>
      <c r="HB17" s="920"/>
      <c r="HC17" s="920"/>
      <c r="HD17" s="920"/>
      <c r="HE17" s="920"/>
      <c r="HF17" s="920"/>
      <c r="HG17" s="920"/>
      <c r="HH17" s="920"/>
      <c r="HI17" s="920"/>
      <c r="HJ17" s="920"/>
      <c r="HK17" s="920"/>
      <c r="HL17" s="920"/>
      <c r="HM17" s="920"/>
      <c r="HN17" s="920"/>
      <c r="HO17" s="920"/>
      <c r="HP17" s="920"/>
      <c r="HQ17" s="920"/>
      <c r="HR17" s="920"/>
      <c r="HS17" s="920"/>
      <c r="HT17" s="920"/>
      <c r="HU17" s="920"/>
      <c r="HV17" s="920"/>
      <c r="HW17" s="920"/>
      <c r="HX17" s="920"/>
      <c r="HY17" s="920"/>
      <c r="HZ17" s="920"/>
      <c r="IA17" s="920"/>
      <c r="IB17" s="920"/>
      <c r="IC17" s="920"/>
      <c r="ID17" s="920"/>
      <c r="IE17" s="920"/>
      <c r="IF17" s="920"/>
      <c r="IG17" s="920"/>
      <c r="IH17" s="920"/>
      <c r="II17" s="920"/>
      <c r="IJ17" s="920"/>
      <c r="IK17" s="920"/>
      <c r="IL17" s="920"/>
      <c r="IM17" s="920"/>
      <c r="IN17" s="920"/>
      <c r="IO17" s="920"/>
      <c r="IP17" s="920"/>
      <c r="IQ17" s="920"/>
      <c r="IR17" s="920"/>
      <c r="IS17" s="920"/>
      <c r="IT17" s="920"/>
      <c r="IU17" s="920"/>
      <c r="IV17" s="920"/>
    </row>
    <row r="19" spans="10:11" ht="12.75">
      <c r="J19" s="276"/>
      <c r="K19" s="276"/>
    </row>
    <row r="20" spans="10:11" ht="12.75">
      <c r="J20" s="617"/>
      <c r="K20" s="276"/>
    </row>
  </sheetData>
  <sheetProtection/>
  <mergeCells count="12">
    <mergeCell ref="L5:L6"/>
    <mergeCell ref="E5:F5"/>
    <mergeCell ref="G5:H5"/>
    <mergeCell ref="I5:I6"/>
    <mergeCell ref="A1:L1"/>
    <mergeCell ref="A2:L2"/>
    <mergeCell ref="A3:L3"/>
    <mergeCell ref="B5:C5"/>
    <mergeCell ref="D5:D6"/>
    <mergeCell ref="A5:A6"/>
    <mergeCell ref="J5:J6"/>
    <mergeCell ref="K5:K6"/>
  </mergeCells>
  <printOptions horizontalCentered="1"/>
  <pageMargins left="0.2362204724409449" right="0.1968503937007874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SheetLayoutView="80" zoomScalePageLayoutView="0" workbookViewId="0" topLeftCell="A2">
      <pane ySplit="4" topLeftCell="A16" activePane="bottomLeft" state="frozen"/>
      <selection pane="topLeft" activeCell="A2" sqref="A2"/>
      <selection pane="bottomLeft" activeCell="O18" sqref="O18"/>
    </sheetView>
  </sheetViews>
  <sheetFormatPr defaultColWidth="9.00390625" defaultRowHeight="41.25" customHeight="1"/>
  <cols>
    <col min="1" max="1" width="74.75390625" style="6" customWidth="1"/>
    <col min="2" max="2" width="0" style="6" hidden="1" customWidth="1"/>
    <col min="3" max="3" width="9.75390625" style="6" customWidth="1"/>
    <col min="4" max="4" width="8.625" style="6" customWidth="1"/>
    <col min="5" max="5" width="8.75390625" style="6" customWidth="1"/>
    <col min="6" max="6" width="9.75390625" style="6" customWidth="1"/>
    <col min="7" max="7" width="9.875" style="6" customWidth="1"/>
    <col min="8" max="8" width="9.125" style="6" customWidth="1"/>
    <col min="9" max="9" width="10.125" style="6" customWidth="1"/>
    <col min="10" max="10" width="12.00390625" style="6" customWidth="1"/>
    <col min="11" max="11" width="9.625" style="6" customWidth="1"/>
    <col min="12" max="12" width="8.625" style="6" customWidth="1"/>
    <col min="13" max="16384" width="9.125" style="6" customWidth="1"/>
  </cols>
  <sheetData>
    <row r="1" spans="1:12" ht="21.75" customHeight="1">
      <c r="A1" s="1292" t="s">
        <v>34</v>
      </c>
      <c r="B1" s="1292"/>
      <c r="C1" s="1292"/>
      <c r="D1" s="1292"/>
      <c r="E1" s="1292"/>
      <c r="F1" s="1292"/>
      <c r="G1" s="1292"/>
      <c r="H1" s="1292"/>
      <c r="I1" s="1292"/>
      <c r="J1" s="1292"/>
      <c r="K1" s="1292"/>
      <c r="L1" s="1292"/>
    </row>
    <row r="2" spans="1:12" ht="38.25" customHeight="1">
      <c r="A2" s="1293" t="s">
        <v>164</v>
      </c>
      <c r="B2" s="1293"/>
      <c r="C2" s="1293"/>
      <c r="D2" s="1293"/>
      <c r="E2" s="1293"/>
      <c r="F2" s="1293"/>
      <c r="G2" s="1293"/>
      <c r="H2" s="1293"/>
      <c r="I2" s="1293"/>
      <c r="J2" s="1293"/>
      <c r="K2" s="1293"/>
      <c r="L2" s="1293"/>
    </row>
    <row r="3" spans="1:12" ht="12.75" customHeight="1">
      <c r="A3" s="1293" t="s">
        <v>488</v>
      </c>
      <c r="B3" s="1293"/>
      <c r="C3" s="1293"/>
      <c r="D3" s="1293"/>
      <c r="E3" s="1293"/>
      <c r="F3" s="1293"/>
      <c r="G3" s="1293"/>
      <c r="H3" s="1293"/>
      <c r="I3" s="1293"/>
      <c r="J3" s="1293"/>
      <c r="K3" s="1293"/>
      <c r="L3" s="1293"/>
    </row>
    <row r="4" spans="1:12" ht="12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s="28" customFormat="1" ht="38.25">
      <c r="A5" s="22" t="s">
        <v>5</v>
      </c>
      <c r="B5" s="27">
        <v>2009</v>
      </c>
      <c r="C5" s="22" t="s">
        <v>35</v>
      </c>
      <c r="D5" s="22" t="s">
        <v>0</v>
      </c>
      <c r="E5" s="22" t="s">
        <v>32</v>
      </c>
      <c r="F5" s="22" t="s">
        <v>31</v>
      </c>
      <c r="G5" s="22" t="s">
        <v>3</v>
      </c>
      <c r="H5" s="22" t="s">
        <v>30</v>
      </c>
      <c r="I5" s="22" t="s">
        <v>36</v>
      </c>
      <c r="J5" s="22" t="s">
        <v>1</v>
      </c>
      <c r="K5" s="22" t="s">
        <v>33</v>
      </c>
      <c r="L5" s="1291" t="s">
        <v>41</v>
      </c>
    </row>
    <row r="6" spans="1:12" s="28" customFormat="1" ht="25.5">
      <c r="A6" s="29" t="s">
        <v>42</v>
      </c>
      <c r="B6" s="27"/>
      <c r="C6" s="1291" t="s">
        <v>43</v>
      </c>
      <c r="D6" s="1291"/>
      <c r="E6" s="1291" t="s">
        <v>44</v>
      </c>
      <c r="F6" s="1291"/>
      <c r="G6" s="22" t="s">
        <v>45</v>
      </c>
      <c r="H6" s="1291" t="s">
        <v>44</v>
      </c>
      <c r="I6" s="1291"/>
      <c r="J6" s="22" t="s">
        <v>45</v>
      </c>
      <c r="K6" s="22" t="s">
        <v>44</v>
      </c>
      <c r="L6" s="1291"/>
    </row>
    <row r="7" spans="1:12" ht="15" customHeight="1">
      <c r="A7" s="30" t="s">
        <v>46</v>
      </c>
      <c r="B7" s="24"/>
      <c r="C7" s="23">
        <f aca="true" t="shared" si="0" ref="C7:K7">SUM(C9:C11)</f>
        <v>2</v>
      </c>
      <c r="D7" s="23">
        <f t="shared" si="0"/>
        <v>2</v>
      </c>
      <c r="E7" s="23">
        <f t="shared" si="0"/>
        <v>2</v>
      </c>
      <c r="F7" s="23">
        <f t="shared" si="0"/>
        <v>2</v>
      </c>
      <c r="G7" s="23">
        <f t="shared" si="0"/>
        <v>1</v>
      </c>
      <c r="H7" s="23">
        <f t="shared" si="0"/>
        <v>2</v>
      </c>
      <c r="I7" s="23">
        <f t="shared" si="0"/>
        <v>2</v>
      </c>
      <c r="J7" s="23">
        <f t="shared" si="0"/>
        <v>1</v>
      </c>
      <c r="K7" s="23">
        <f t="shared" si="0"/>
        <v>2</v>
      </c>
      <c r="L7" s="23">
        <f>SUM(C7:K7)</f>
        <v>16</v>
      </c>
    </row>
    <row r="8" spans="1:12" ht="14.25" customHeight="1">
      <c r="A8" s="31" t="s">
        <v>38</v>
      </c>
      <c r="B8" s="24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2.75">
      <c r="A9" s="30" t="s">
        <v>47</v>
      </c>
      <c r="B9" s="24"/>
      <c r="C9" s="23">
        <v>1</v>
      </c>
      <c r="D9" s="23">
        <v>1</v>
      </c>
      <c r="E9" s="23">
        <v>1</v>
      </c>
      <c r="F9" s="23">
        <v>1</v>
      </c>
      <c r="G9" s="23">
        <v>1</v>
      </c>
      <c r="H9" s="23">
        <v>1</v>
      </c>
      <c r="I9" s="23">
        <v>1</v>
      </c>
      <c r="J9" s="23">
        <v>1</v>
      </c>
      <c r="K9" s="23">
        <v>1</v>
      </c>
      <c r="L9" s="23">
        <f>SUM(C9:K9)</f>
        <v>9</v>
      </c>
    </row>
    <row r="10" spans="1:12" ht="12.75">
      <c r="A10" s="30" t="s">
        <v>48</v>
      </c>
      <c r="B10" s="24"/>
      <c r="C10" s="23"/>
      <c r="D10" s="23"/>
      <c r="E10" s="23">
        <v>1</v>
      </c>
      <c r="F10" s="23">
        <v>1</v>
      </c>
      <c r="G10" s="23"/>
      <c r="H10" s="23">
        <v>1</v>
      </c>
      <c r="I10" s="23">
        <v>1</v>
      </c>
      <c r="J10" s="23"/>
      <c r="K10" s="23"/>
      <c r="L10" s="23">
        <f>SUM(C10:K10)</f>
        <v>4</v>
      </c>
    </row>
    <row r="11" spans="1:12" ht="12.75">
      <c r="A11" s="30" t="s">
        <v>49</v>
      </c>
      <c r="B11" s="24"/>
      <c r="C11" s="23">
        <v>1</v>
      </c>
      <c r="D11" s="23">
        <v>1</v>
      </c>
      <c r="E11" s="23"/>
      <c r="F11" s="23"/>
      <c r="G11" s="23"/>
      <c r="H11" s="23"/>
      <c r="I11" s="23"/>
      <c r="J11" s="23"/>
      <c r="K11" s="23">
        <v>1</v>
      </c>
      <c r="L11" s="23">
        <f>SUM(C11:K11)</f>
        <v>3</v>
      </c>
    </row>
    <row r="12" spans="1:12" s="28" customFormat="1" ht="40.5" customHeight="1" hidden="1">
      <c r="A12" s="22" t="s">
        <v>5</v>
      </c>
      <c r="B12" s="27">
        <v>2009</v>
      </c>
      <c r="C12" s="22" t="s">
        <v>35</v>
      </c>
      <c r="D12" s="22" t="s">
        <v>0</v>
      </c>
      <c r="E12" s="22" t="s">
        <v>32</v>
      </c>
      <c r="F12" s="22" t="s">
        <v>31</v>
      </c>
      <c r="G12" s="22" t="s">
        <v>3</v>
      </c>
      <c r="H12" s="22" t="s">
        <v>30</v>
      </c>
      <c r="I12" s="22" t="s">
        <v>36</v>
      </c>
      <c r="J12" s="22" t="s">
        <v>1</v>
      </c>
      <c r="K12" s="22" t="s">
        <v>33</v>
      </c>
      <c r="L12" s="22" t="s">
        <v>41</v>
      </c>
    </row>
    <row r="13" spans="1:12" s="67" customFormat="1" ht="14.25" customHeight="1">
      <c r="A13" s="69" t="s">
        <v>489</v>
      </c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2" ht="14.25" customHeight="1">
      <c r="A14" s="30" t="s">
        <v>47</v>
      </c>
      <c r="B14" s="24"/>
      <c r="C14" s="25">
        <v>5.807</v>
      </c>
      <c r="D14" s="25">
        <v>5.807</v>
      </c>
      <c r="E14" s="25">
        <v>5.807</v>
      </c>
      <c r="F14" s="25">
        <v>5.807</v>
      </c>
      <c r="G14" s="25">
        <v>5.807</v>
      </c>
      <c r="H14" s="25">
        <v>5.807</v>
      </c>
      <c r="I14" s="25">
        <v>5.807</v>
      </c>
      <c r="J14" s="25">
        <v>5.807</v>
      </c>
      <c r="K14" s="25">
        <v>5.807</v>
      </c>
      <c r="L14" s="25"/>
    </row>
    <row r="15" spans="1:12" ht="14.25" customHeight="1">
      <c r="A15" s="30" t="s">
        <v>48</v>
      </c>
      <c r="B15" s="24"/>
      <c r="C15" s="25"/>
      <c r="D15" s="25"/>
      <c r="E15" s="25">
        <v>5.321</v>
      </c>
      <c r="F15" s="25">
        <v>5.321</v>
      </c>
      <c r="G15" s="25"/>
      <c r="H15" s="25">
        <v>5.321</v>
      </c>
      <c r="I15" s="25">
        <v>5.321</v>
      </c>
      <c r="J15" s="25"/>
      <c r="K15" s="25"/>
      <c r="L15" s="25"/>
    </row>
    <row r="16" spans="1:12" ht="14.25" customHeight="1">
      <c r="A16" s="30" t="s">
        <v>50</v>
      </c>
      <c r="B16" s="24"/>
      <c r="C16" s="25">
        <v>6.41</v>
      </c>
      <c r="D16" s="25">
        <v>6.41</v>
      </c>
      <c r="E16" s="25"/>
      <c r="F16" s="25"/>
      <c r="G16" s="25"/>
      <c r="H16" s="25"/>
      <c r="I16" s="25"/>
      <c r="J16" s="25"/>
      <c r="K16" s="25">
        <v>6.41</v>
      </c>
      <c r="L16" s="25"/>
    </row>
    <row r="17" spans="1:12" ht="14.25" customHeight="1">
      <c r="A17" s="30"/>
      <c r="B17" s="24"/>
      <c r="C17" s="25">
        <f aca="true" t="shared" si="1" ref="C17:K17">SUM(C14:C16)</f>
        <v>12.217</v>
      </c>
      <c r="D17" s="25">
        <f t="shared" si="1"/>
        <v>12.217</v>
      </c>
      <c r="E17" s="25">
        <f t="shared" si="1"/>
        <v>11.128</v>
      </c>
      <c r="F17" s="25">
        <f t="shared" si="1"/>
        <v>11.128</v>
      </c>
      <c r="G17" s="25">
        <f t="shared" si="1"/>
        <v>5.807</v>
      </c>
      <c r="H17" s="25">
        <f t="shared" si="1"/>
        <v>11.128</v>
      </c>
      <c r="I17" s="25">
        <f t="shared" si="1"/>
        <v>11.128</v>
      </c>
      <c r="J17" s="25">
        <f t="shared" si="1"/>
        <v>5.807</v>
      </c>
      <c r="K17" s="25">
        <f t="shared" si="1"/>
        <v>12.217</v>
      </c>
      <c r="L17" s="25"/>
    </row>
    <row r="18" spans="1:12" ht="98.25" customHeight="1">
      <c r="A18" s="30" t="s">
        <v>490</v>
      </c>
      <c r="B18" s="24"/>
      <c r="C18" s="25">
        <v>9.167</v>
      </c>
      <c r="D18" s="25">
        <v>9.167</v>
      </c>
      <c r="E18" s="25">
        <v>9.167</v>
      </c>
      <c r="F18" s="25">
        <v>9.167</v>
      </c>
      <c r="G18" s="25">
        <v>9.167</v>
      </c>
      <c r="H18" s="25">
        <v>9.167</v>
      </c>
      <c r="I18" s="25">
        <v>9.167</v>
      </c>
      <c r="J18" s="25">
        <v>9.9</v>
      </c>
      <c r="K18" s="25">
        <v>9.167</v>
      </c>
      <c r="L18" s="25"/>
    </row>
    <row r="19" spans="1:12" ht="108" customHeight="1">
      <c r="A19" s="30" t="s">
        <v>51</v>
      </c>
      <c r="B19" s="24"/>
      <c r="C19" s="25">
        <v>0.302</v>
      </c>
      <c r="D19" s="25">
        <v>0.302</v>
      </c>
      <c r="E19" s="25">
        <v>0.302</v>
      </c>
      <c r="F19" s="25">
        <v>0.302</v>
      </c>
      <c r="G19" s="25">
        <v>0.302</v>
      </c>
      <c r="H19" s="25">
        <v>0.302</v>
      </c>
      <c r="I19" s="25">
        <v>0.302</v>
      </c>
      <c r="J19" s="25">
        <v>0.302</v>
      </c>
      <c r="K19" s="25">
        <v>0.302</v>
      </c>
      <c r="L19" s="25"/>
    </row>
    <row r="20" spans="1:12" ht="27" customHeight="1">
      <c r="A20" s="30" t="s">
        <v>52</v>
      </c>
      <c r="B20" s="24"/>
      <c r="C20" s="32">
        <f>22.3*1.055*1.05*1.05</f>
        <v>25.937966250000002</v>
      </c>
      <c r="D20" s="32">
        <f aca="true" t="shared" si="2" ref="D20:K20">22.3*1.055*1.05*1.05</f>
        <v>25.937966250000002</v>
      </c>
      <c r="E20" s="32">
        <f t="shared" si="2"/>
        <v>25.937966250000002</v>
      </c>
      <c r="F20" s="32">
        <f t="shared" si="2"/>
        <v>25.937966250000002</v>
      </c>
      <c r="G20" s="32">
        <f>F20*0.5</f>
        <v>12.968983125000001</v>
      </c>
      <c r="H20" s="32">
        <f t="shared" si="2"/>
        <v>25.937966250000002</v>
      </c>
      <c r="I20" s="32">
        <f t="shared" si="2"/>
        <v>25.937966250000002</v>
      </c>
      <c r="J20" s="32">
        <f>I20*0.5</f>
        <v>12.968983125000001</v>
      </c>
      <c r="K20" s="32">
        <f t="shared" si="2"/>
        <v>25.937966250000002</v>
      </c>
      <c r="L20" s="32"/>
    </row>
    <row r="21" spans="1:12" ht="15.75" customHeight="1">
      <c r="A21" s="30" t="s">
        <v>137</v>
      </c>
      <c r="B21" s="24"/>
      <c r="C21" s="32">
        <f>14.2*1.055</f>
        <v>14.980999999999998</v>
      </c>
      <c r="D21" s="32">
        <f>14.2*1.055</f>
        <v>14.980999999999998</v>
      </c>
      <c r="E21" s="32">
        <f>14.2*1.055</f>
        <v>14.980999999999998</v>
      </c>
      <c r="F21" s="32">
        <f>14.2*1.055</f>
        <v>14.980999999999998</v>
      </c>
      <c r="G21" s="32">
        <f>F21*0.5</f>
        <v>7.490499999999999</v>
      </c>
      <c r="H21" s="32">
        <f>14.2*1.055</f>
        <v>14.980999999999998</v>
      </c>
      <c r="I21" s="32">
        <f>14.2*1.055</f>
        <v>14.980999999999998</v>
      </c>
      <c r="J21" s="32">
        <f>I21*0.5</f>
        <v>7.490499999999999</v>
      </c>
      <c r="K21" s="32">
        <f>14.2*1.055</f>
        <v>14.980999999999998</v>
      </c>
      <c r="L21" s="32"/>
    </row>
    <row r="22" spans="1:14" ht="26.25" customHeight="1">
      <c r="A22" s="30" t="s">
        <v>53</v>
      </c>
      <c r="B22" s="24"/>
      <c r="C22" s="32">
        <f>18.6*1.055*1.05</f>
        <v>20.60415</v>
      </c>
      <c r="D22" s="32">
        <f aca="true" t="shared" si="3" ref="D22:K22">18.6*1.055*1.05</f>
        <v>20.60415</v>
      </c>
      <c r="E22" s="32">
        <f t="shared" si="3"/>
        <v>20.60415</v>
      </c>
      <c r="F22" s="32">
        <f t="shared" si="3"/>
        <v>20.60415</v>
      </c>
      <c r="G22" s="32">
        <f>F22*0.5</f>
        <v>10.302075</v>
      </c>
      <c r="H22" s="32">
        <f t="shared" si="3"/>
        <v>20.60415</v>
      </c>
      <c r="I22" s="32">
        <f t="shared" si="3"/>
        <v>20.60415</v>
      </c>
      <c r="J22" s="32">
        <f>I22*0.5</f>
        <v>10.302075</v>
      </c>
      <c r="K22" s="32">
        <f t="shared" si="3"/>
        <v>20.60415</v>
      </c>
      <c r="L22" s="32"/>
      <c r="N22" s="35"/>
    </row>
    <row r="23" spans="1:12" ht="17.25" customHeight="1">
      <c r="A23" s="30" t="s">
        <v>54</v>
      </c>
      <c r="B23" s="33"/>
      <c r="C23" s="32">
        <f>6.6*1.055</f>
        <v>6.962999999999999</v>
      </c>
      <c r="D23" s="32">
        <f>6.6*1.055</f>
        <v>6.962999999999999</v>
      </c>
      <c r="E23" s="32">
        <f>6.6*1.055</f>
        <v>6.962999999999999</v>
      </c>
      <c r="F23" s="32">
        <f>6.6*1.055</f>
        <v>6.962999999999999</v>
      </c>
      <c r="G23" s="32">
        <f>F23*0.5</f>
        <v>3.4814999999999996</v>
      </c>
      <c r="H23" s="32">
        <f>6.6*1.055</f>
        <v>6.962999999999999</v>
      </c>
      <c r="I23" s="32">
        <f>6.6*1.055</f>
        <v>6.962999999999999</v>
      </c>
      <c r="J23" s="32">
        <f>I23*0.5</f>
        <v>3.4814999999999996</v>
      </c>
      <c r="K23" s="32">
        <f>6.6*1.055</f>
        <v>6.962999999999999</v>
      </c>
      <c r="L23" s="32"/>
    </row>
    <row r="24" spans="1:12" ht="27" customHeight="1">
      <c r="A24" s="30" t="s">
        <v>55</v>
      </c>
      <c r="B24" s="24"/>
      <c r="C24" s="32">
        <f>17.5*1.055</f>
        <v>18.4625</v>
      </c>
      <c r="D24" s="32">
        <f>17.5*1.055</f>
        <v>18.4625</v>
      </c>
      <c r="E24" s="32">
        <f>17.5*1.055</f>
        <v>18.4625</v>
      </c>
      <c r="F24" s="32">
        <f>17.5*1.055</f>
        <v>18.4625</v>
      </c>
      <c r="G24" s="32">
        <f>F24*0.5</f>
        <v>9.23125</v>
      </c>
      <c r="H24" s="32">
        <f>17.5*1.055</f>
        <v>18.4625</v>
      </c>
      <c r="I24" s="32">
        <f>17.5*1.055</f>
        <v>18.4625</v>
      </c>
      <c r="J24" s="32">
        <f>I24*0.5</f>
        <v>9.23125</v>
      </c>
      <c r="K24" s="32">
        <f>17.5*1.055</f>
        <v>18.4625</v>
      </c>
      <c r="L24" s="32"/>
    </row>
    <row r="25" spans="1:12" ht="27" customHeight="1">
      <c r="A25" s="30" t="s">
        <v>491</v>
      </c>
      <c r="B25" s="24"/>
      <c r="C25" s="32">
        <v>70</v>
      </c>
      <c r="D25" s="32">
        <v>70</v>
      </c>
      <c r="E25" s="32">
        <v>70</v>
      </c>
      <c r="F25" s="32">
        <v>70</v>
      </c>
      <c r="G25" s="32">
        <v>35</v>
      </c>
      <c r="H25" s="32">
        <v>70</v>
      </c>
      <c r="I25" s="32">
        <v>70</v>
      </c>
      <c r="J25" s="32">
        <v>35</v>
      </c>
      <c r="K25" s="32">
        <v>70</v>
      </c>
      <c r="L25" s="32"/>
    </row>
    <row r="26" spans="1:13" s="67" customFormat="1" ht="15.75" customHeight="1">
      <c r="A26" s="125" t="s">
        <v>135</v>
      </c>
      <c r="B26" s="69"/>
      <c r="C26" s="126">
        <f>((C17*C18)+(C17*C18)*0.302)*12+C20+C21+C22+C23+C24+C25</f>
        <v>1906.730982386</v>
      </c>
      <c r="D26" s="126">
        <f aca="true" t="shared" si="4" ref="D26:K26">((D17*D18)+(D17*D18)*0.302)*12+D20+D21+D22+D23+D24+D25</f>
        <v>1906.730982386</v>
      </c>
      <c r="E26" s="126">
        <f t="shared" si="4"/>
        <v>1750.7587308739999</v>
      </c>
      <c r="F26" s="126">
        <f t="shared" si="4"/>
        <v>1750.7587308739999</v>
      </c>
      <c r="G26" s="126">
        <f>((G17*G18)+(G17*G18)*0.302)*12+G20+G21+G22+G23+G24+G25-0.1</f>
        <v>910.0830909809999</v>
      </c>
      <c r="H26" s="126">
        <f t="shared" si="4"/>
        <v>1750.7587308739999</v>
      </c>
      <c r="I26" s="126">
        <f t="shared" si="4"/>
        <v>1750.7587308739999</v>
      </c>
      <c r="J26" s="126">
        <f t="shared" si="4"/>
        <v>976.687131325</v>
      </c>
      <c r="K26" s="126">
        <f t="shared" si="4"/>
        <v>1906.730982386</v>
      </c>
      <c r="L26" s="126">
        <f>SUM(C26:K26)+0.1</f>
        <v>14610.09809296</v>
      </c>
      <c r="M26" s="68"/>
    </row>
    <row r="27" spans="1:12" ht="1.5" customHeight="1" hidden="1">
      <c r="A27" s="127" t="s">
        <v>133</v>
      </c>
      <c r="B27" s="34" t="e">
        <f>#REF!+#REF!</f>
        <v>#REF!</v>
      </c>
      <c r="C27" s="126" t="e">
        <f>(#REF!+#REF!*#REF!)*3*1.302+(#REF!+#REF!*C19)*3*1.302+(C13+C13*C19)*3*1.302+(C18+C18*C19)*3*1.302+C21+C22+C23+C24+C26</f>
        <v>#REF!</v>
      </c>
      <c r="D27" s="126" t="e">
        <f>(#REF!+#REF!*#REF!)*3*1.302+(#REF!+#REF!*D19)*3*1.302+(D13+D13*D19)*3*1.302+(D18+D18*D19)*3*1.302+D21+D22+D23+D24+D26</f>
        <v>#REF!</v>
      </c>
      <c r="E27" s="126" t="e">
        <f>(#REF!+#REF!*#REF!)*3*1.302+(#REF!+#REF!*E19)*3*1.302+(E13+E13*E19)*3*1.302+(E18+E18*E19)*3*1.302+E21+E22+E23+E24+E26</f>
        <v>#REF!</v>
      </c>
      <c r="F27" s="126" t="e">
        <f>(#REF!+#REF!*#REF!)*3*1.302+(#REF!+#REF!*F19)*3*1.302+(F13+F13*F19)*3*1.302+(F18+F18*F19)*3*1.302+F21+F22+F23+F24+F26</f>
        <v>#REF!</v>
      </c>
      <c r="G27" s="126" t="e">
        <f>(#REF!+#REF!*#REF!)*3*1.302+(#REF!+#REF!*G19)*3*1.302+(G13+G13*G19)*3*1.302+(G18+G18*G19)*3*1.302+G21+G22+G23+G24+G26</f>
        <v>#REF!</v>
      </c>
      <c r="H27" s="126" t="e">
        <f>(#REF!+#REF!*#REF!)*3*1.302+(#REF!+#REF!*H19)*3*1.302+(H13+H13*H19)*3*1.302+(H18+H18*H19)*3*1.302+H21+H22+H23+H24+H26</f>
        <v>#REF!</v>
      </c>
      <c r="I27" s="126" t="e">
        <f>(#REF!+#REF!*#REF!)*3*1.302+(#REF!+#REF!*I19)*3*1.302+(I13+I13*I19)*3*1.302+(I18+I18*I19)*3*1.302+I21+I22+I23+I24+I26</f>
        <v>#REF!</v>
      </c>
      <c r="J27" s="126" t="e">
        <f>(#REF!+#REF!*#REF!)*3*1.302+(#REF!+#REF!*J19)*3*1.302+(J13+J13*J19)*3*1.302+(J18+J18*J19)*3*1.302+J21+J22+J23+J24+J26</f>
        <v>#REF!</v>
      </c>
      <c r="K27" s="126" t="e">
        <f>(#REF!+#REF!*#REF!)*3*1.302+(#REF!+#REF!*K19)*3*1.302+(K13+K13*K19)*3*1.302+(K18+K18*K19)*3*1.302+K21+K22+K23+K24+K26</f>
        <v>#REF!</v>
      </c>
      <c r="L27" s="126" t="e">
        <f aca="true" t="shared" si="5" ref="L27:L32">SUM(C27:K27)+0.1</f>
        <v>#REF!</v>
      </c>
    </row>
    <row r="28" spans="1:14" ht="24" customHeight="1" hidden="1">
      <c r="A28" s="127"/>
      <c r="B28" s="24"/>
      <c r="C28" s="126" t="e">
        <f>(#REF!+#REF!*C19)*3*1.302+(#REF!+#REF!*C20)*3*1.302+(C14+C14*C20)*3*1.302+(#REF!+#REF!*C20)*3*1.302+C22+C23+C24+C26+C27</f>
        <v>#REF!</v>
      </c>
      <c r="D28" s="126" t="e">
        <f>(#REF!+#REF!*D19)*3*1.302+(#REF!+#REF!*D20)*3*1.302+(D14+D14*D20)*3*1.302+(#REF!+#REF!*D20)*3*1.302+D22+D23+D24+D26+D27</f>
        <v>#REF!</v>
      </c>
      <c r="E28" s="126" t="e">
        <f>(#REF!+#REF!*E19)*3*1.302+(#REF!+#REF!*E20)*3*1.302+(E14+E14*E20)*3*1.302+(#REF!+#REF!*E20)*3*1.302+E22+E23+E24+E26+E27</f>
        <v>#REF!</v>
      </c>
      <c r="F28" s="126" t="e">
        <f>(#REF!+#REF!*F19)*3*1.302+(#REF!+#REF!*F20)*3*1.302+(F14+F14*F20)*3*1.302+(#REF!+#REF!*F20)*3*1.302+F22+F23+F24+F26+F27</f>
        <v>#REF!</v>
      </c>
      <c r="G28" s="126" t="e">
        <f>(#REF!+#REF!*G19)*3*1.302+(#REF!+#REF!*G20)*3*1.302+(G14+G14*G20)*3*1.302+(#REF!+#REF!*G20)*3*1.302+G22+G23+G24+G26+G27</f>
        <v>#REF!</v>
      </c>
      <c r="H28" s="126" t="e">
        <f>(#REF!+#REF!*H19)*3*1.302+(#REF!+#REF!*H20)*3*1.302+(H14+H14*H20)*3*1.302+(#REF!+#REF!*H20)*3*1.302+H22+H23+H24+H26+H27</f>
        <v>#REF!</v>
      </c>
      <c r="I28" s="126" t="e">
        <f>(#REF!+#REF!*I19)*3*1.302+(#REF!+#REF!*I20)*3*1.302+(I14+I14*I20)*3*1.302+(#REF!+#REF!*I20)*3*1.302+I22+I23+I24+I26+I27</f>
        <v>#REF!</v>
      </c>
      <c r="J28" s="126" t="e">
        <f>(#REF!+#REF!*J19)*3*1.302+(#REF!+#REF!*J20)*3*1.302+(J14+J14*J20)*3*1.302+(#REF!+#REF!*J20)*3*1.302+J22+J23+J24+J26+J27</f>
        <v>#REF!</v>
      </c>
      <c r="K28" s="126" t="e">
        <f>(#REF!+#REF!*K19)*3*1.302+(#REF!+#REF!*K20)*3*1.302+(K14+K14*K20)*3*1.302+(#REF!+#REF!*K20)*3*1.302+K22+K23+K24+K26+K27</f>
        <v>#REF!</v>
      </c>
      <c r="L28" s="126" t="e">
        <f t="shared" si="5"/>
        <v>#REF!</v>
      </c>
      <c r="N28" s="35"/>
    </row>
    <row r="29" spans="1:12" ht="21.75" customHeight="1" hidden="1">
      <c r="A29" s="128"/>
      <c r="B29" s="24"/>
      <c r="C29" s="126" t="e">
        <f>(#REF!+#REF!*C20)*3*1.302+(#REF!+#REF!*C21)*3*1.302+(C15+C15*C21)*3*1.302+(C19+C19*C21)*3*1.302+C23+C24+C26+C27+C28</f>
        <v>#REF!</v>
      </c>
      <c r="D29" s="126" t="e">
        <f>(#REF!+#REF!*D20)*3*1.302+(#REF!+#REF!*D21)*3*1.302+(D15+D15*D21)*3*1.302+(D19+D19*D21)*3*1.302+D23+D24+D26+D27+D28</f>
        <v>#REF!</v>
      </c>
      <c r="E29" s="126" t="e">
        <f>(#REF!+#REF!*E20)*3*1.302+(#REF!+#REF!*E21)*3*1.302+(E15+E15*E21)*3*1.302+(E19+E19*E21)*3*1.302+E23+E24+E26+E27+E28</f>
        <v>#REF!</v>
      </c>
      <c r="F29" s="126" t="e">
        <f>(#REF!+#REF!*F20)*3*1.302+(#REF!+#REF!*F21)*3*1.302+(F15+F15*F21)*3*1.302+(F19+F19*F21)*3*1.302+F23+F24+F26+F27+F28</f>
        <v>#REF!</v>
      </c>
      <c r="G29" s="126" t="e">
        <f>(#REF!+#REF!*G20)*3*1.302+(#REF!+#REF!*G21)*3*1.302+(G15+G15*G21)*3*1.302+(G19+G19*G21)*3*1.302+G23+G24+G26+G27+G28</f>
        <v>#REF!</v>
      </c>
      <c r="H29" s="126" t="e">
        <f>(#REF!+#REF!*H20)*3*1.302+(#REF!+#REF!*H21)*3*1.302+(H15+H15*H21)*3*1.302+(H19+H19*H21)*3*1.302+H23+H24+H26+H27+H28</f>
        <v>#REF!</v>
      </c>
      <c r="I29" s="126" t="e">
        <f>(#REF!+#REF!*I20)*3*1.302+(#REF!+#REF!*I21)*3*1.302+(I15+I15*I21)*3*1.302+(I19+I19*I21)*3*1.302+I23+I24+I26+I27+I28</f>
        <v>#REF!</v>
      </c>
      <c r="J29" s="126" t="e">
        <f>(#REF!+#REF!*J20)*3*1.302+(#REF!+#REF!*J21)*3*1.302+(J15+J15*J21)*3*1.302+(J19+J19*J21)*3*1.302+J23+J24+J26+J27+J28</f>
        <v>#REF!</v>
      </c>
      <c r="K29" s="126" t="e">
        <f>(#REF!+#REF!*K20)*3*1.302+(#REF!+#REF!*K21)*3*1.302+(K15+K15*K21)*3*1.302+(K19+K19*K21)*3*1.302+K23+K24+K26+K27+K28</f>
        <v>#REF!</v>
      </c>
      <c r="L29" s="126" t="e">
        <f t="shared" si="5"/>
        <v>#REF!</v>
      </c>
    </row>
    <row r="30" spans="1:12" ht="25.5" customHeight="1" hidden="1">
      <c r="A30" s="128" t="s">
        <v>134</v>
      </c>
      <c r="B30" s="24"/>
      <c r="C30" s="126" t="e">
        <f>(#REF!+#REF!*C21)*3*1.302+(#REF!+#REF!*C22)*3*1.302+(C16+C16*C22)*3*1.302+(C20+C20*C22)*3*1.302+C24+C26+C27+C28+C29</f>
        <v>#REF!</v>
      </c>
      <c r="D30" s="126" t="e">
        <f>(#REF!+#REF!*D21)*3*1.302+(#REF!+#REF!*D22)*3*1.302+(D16+D16*D22)*3*1.302+(D20+D20*D22)*3*1.302+D24+D26+D27+D28+D29</f>
        <v>#REF!</v>
      </c>
      <c r="E30" s="126" t="e">
        <f>(#REF!+#REF!*E21)*3*1.302+(#REF!+#REF!*E22)*3*1.302+(E16+E16*E22)*3*1.302+(E20+E20*E22)*3*1.302+E24+E26+E27+E28+E29</f>
        <v>#REF!</v>
      </c>
      <c r="F30" s="126" t="e">
        <f>(#REF!+#REF!*F21)*3*1.302+(#REF!+#REF!*F22)*3*1.302+(F16+F16*F22)*3*1.302+(F20+F20*F22)*3*1.302+F24+F26+F27+F28+F29</f>
        <v>#REF!</v>
      </c>
      <c r="G30" s="126" t="e">
        <f>(#REF!+#REF!*G21)*3*1.302+(#REF!+#REF!*G22)*3*1.302+(G16+G16*G22)*3*1.302+(G20+G20*G22)*3*1.302+G24+G26+G27+G28+G29</f>
        <v>#REF!</v>
      </c>
      <c r="H30" s="126" t="e">
        <f>(#REF!+#REF!*H21)*3*1.302+(#REF!+#REF!*H22)*3*1.302+(H16+H16*H22)*3*1.302+(H20+H20*H22)*3*1.302+H24+H26+H27+H28+H29</f>
        <v>#REF!</v>
      </c>
      <c r="I30" s="126" t="e">
        <f>(#REF!+#REF!*I21)*3*1.302+(#REF!+#REF!*I22)*3*1.302+(I16+I16*I22)*3*1.302+(I20+I20*I22)*3*1.302+I24+I26+I27+I28+I29</f>
        <v>#REF!</v>
      </c>
      <c r="J30" s="126" t="e">
        <f>(#REF!+#REF!*J21)*3*1.302+(#REF!+#REF!*J22)*3*1.302+(J16+J16*J22)*3*1.302+(J20+J20*J22)*3*1.302+J24+J26+J27+J28+J29</f>
        <v>#REF!</v>
      </c>
      <c r="K30" s="126" t="e">
        <f>(#REF!+#REF!*K21)*3*1.302+(#REF!+#REF!*K22)*3*1.302+(K16+K16*K22)*3*1.302+(K20+K20*K22)*3*1.302+K24+K26+K27+K28+K29</f>
        <v>#REF!</v>
      </c>
      <c r="L30" s="126" t="e">
        <f t="shared" si="5"/>
        <v>#REF!</v>
      </c>
    </row>
    <row r="31" spans="1:12" s="67" customFormat="1" ht="20.25" customHeight="1" hidden="1">
      <c r="A31" s="125" t="s">
        <v>135</v>
      </c>
      <c r="B31" s="179"/>
      <c r="C31" s="126" t="e">
        <f>(#REF!+#REF!*C22)*3*1.302+(#REF!+#REF!*C23)*3*1.302+(C17+C17*C23)*3*1.302+(C21+C21*C23)*3*1.302+C26+C27+C28+C29+C30</f>
        <v>#REF!</v>
      </c>
      <c r="D31" s="126" t="e">
        <f>(#REF!+#REF!*D22)*3*1.302+(#REF!+#REF!*D23)*3*1.302+(D17+D17*D23)*3*1.302+(D21+D21*D23)*3*1.302+D26+D27+D28+D29+D30</f>
        <v>#REF!</v>
      </c>
      <c r="E31" s="126" t="e">
        <f>(#REF!+#REF!*E22)*3*1.302+(#REF!+#REF!*E23)*3*1.302+(E17+E17*E23)*3*1.302+(E21+E21*E23)*3*1.302+E26+E27+E28+E29+E30</f>
        <v>#REF!</v>
      </c>
      <c r="F31" s="126" t="e">
        <f>(#REF!+#REF!*F22)*3*1.302+(#REF!+#REF!*F23)*3*1.302+(F17+F17*F23)*3*1.302+(F21+F21*F23)*3*1.302+F26+F27+F28+F29+F30</f>
        <v>#REF!</v>
      </c>
      <c r="G31" s="126" t="e">
        <f>(#REF!+#REF!*G22)*3*1.302+(#REF!+#REF!*G23)*3*1.302+(G17+G17*G23)*3*1.302+(G21+G21*G23)*3*1.302+G26+G27+G28+G29+G30</f>
        <v>#REF!</v>
      </c>
      <c r="H31" s="126" t="e">
        <f>(#REF!+#REF!*H22)*3*1.302+(#REF!+#REF!*H23)*3*1.302+(H17+H17*H23)*3*1.302+(H21+H21*H23)*3*1.302+H26+H27+H28+H29+H30</f>
        <v>#REF!</v>
      </c>
      <c r="I31" s="126" t="e">
        <f>(#REF!+#REF!*I22)*3*1.302+(#REF!+#REF!*I23)*3*1.302+(I17+I17*I23)*3*1.302+(I21+I21*I23)*3*1.302+I26+I27+I28+I29+I30</f>
        <v>#REF!</v>
      </c>
      <c r="J31" s="126" t="e">
        <f>(#REF!+#REF!*J22)*3*1.302+(#REF!+#REF!*J23)*3*1.302+(J17+J17*J23)*3*1.302+(J21+J21*J23)*3*1.302+J26+J27+J28+J29+J30</f>
        <v>#REF!</v>
      </c>
      <c r="K31" s="126" t="e">
        <f>(#REF!+#REF!*K22)*3*1.302+(#REF!+#REF!*K23)*3*1.302+(K17+K17*K23)*3*1.302+(K21+K21*K23)*3*1.302+K26+K27+K28+K29+K30</f>
        <v>#REF!</v>
      </c>
      <c r="L31" s="126" t="e">
        <f t="shared" si="5"/>
        <v>#REF!</v>
      </c>
    </row>
    <row r="32" spans="1:12" s="67" customFormat="1" ht="20.25" customHeight="1" hidden="1">
      <c r="A32" s="125"/>
      <c r="B32" s="712"/>
      <c r="C32" s="126">
        <v>2088.1</v>
      </c>
      <c r="D32" s="126">
        <v>2088.1</v>
      </c>
      <c r="E32" s="126">
        <v>1909.6</v>
      </c>
      <c r="F32" s="126">
        <v>1909.6</v>
      </c>
      <c r="G32" s="126">
        <v>994.7</v>
      </c>
      <c r="H32" s="126">
        <v>1909.6</v>
      </c>
      <c r="I32" s="126">
        <v>1909.6</v>
      </c>
      <c r="J32" s="126">
        <v>1058.9</v>
      </c>
      <c r="K32" s="126">
        <v>2088.1</v>
      </c>
      <c r="L32" s="126">
        <f t="shared" si="5"/>
        <v>15956.400000000001</v>
      </c>
    </row>
    <row r="33" spans="1:12" ht="15.75" customHeight="1">
      <c r="A33" s="125" t="s">
        <v>136</v>
      </c>
      <c r="C33" s="126">
        <v>1908.82537761725</v>
      </c>
      <c r="D33" s="126">
        <v>1908.82537761725</v>
      </c>
      <c r="E33" s="126">
        <v>1752.8531261052499</v>
      </c>
      <c r="F33" s="126">
        <v>1752.8531261052499</v>
      </c>
      <c r="G33" s="126">
        <v>911.230288596625</v>
      </c>
      <c r="H33" s="126">
        <v>1752.8531261052499</v>
      </c>
      <c r="I33" s="126">
        <v>1752.8531261052499</v>
      </c>
      <c r="J33" s="126">
        <v>977.734328940625</v>
      </c>
      <c r="K33" s="126">
        <v>1908.82537761725</v>
      </c>
      <c r="L33" s="126">
        <f>SUM(C33:K33)</f>
        <v>14626.853254810001</v>
      </c>
    </row>
    <row r="34" spans="1:12" ht="15" customHeight="1">
      <c r="A34" s="125" t="s">
        <v>165</v>
      </c>
      <c r="C34" s="126">
        <v>1910.916747610944</v>
      </c>
      <c r="D34" s="126">
        <v>1910.916747610944</v>
      </c>
      <c r="E34" s="126">
        <v>1754.9444960989438</v>
      </c>
      <c r="F34" s="126">
        <v>1754.9444960989438</v>
      </c>
      <c r="G34" s="126">
        <f>912.275973593472+0.2</f>
        <v>912.4759735934721</v>
      </c>
      <c r="H34" s="126">
        <v>1754.9444960989438</v>
      </c>
      <c r="I34" s="126">
        <v>1754.9444960989438</v>
      </c>
      <c r="J34" s="126">
        <v>978.780013937472</v>
      </c>
      <c r="K34" s="126">
        <v>1910.916747610944</v>
      </c>
      <c r="L34" s="126">
        <f>SUM(C34:K34)-0.2</f>
        <v>14643.58421475955</v>
      </c>
    </row>
  </sheetData>
  <sheetProtection/>
  <mergeCells count="7">
    <mergeCell ref="L5:L6"/>
    <mergeCell ref="C6:D6"/>
    <mergeCell ref="E6:F6"/>
    <mergeCell ref="H6:I6"/>
    <mergeCell ref="A1:L1"/>
    <mergeCell ref="A2:L2"/>
    <mergeCell ref="A3:L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25"/>
  <sheetViews>
    <sheetView zoomScaleSheetLayoutView="81" zoomScalePageLayoutView="0" workbookViewId="0" topLeftCell="A1">
      <selection activeCell="K13" sqref="K13"/>
    </sheetView>
  </sheetViews>
  <sheetFormatPr defaultColWidth="11.875" defaultRowHeight="12.75"/>
  <cols>
    <col min="1" max="1" width="29.375" style="235" customWidth="1"/>
    <col min="2" max="2" width="16.875" style="235" customWidth="1"/>
    <col min="3" max="3" width="15.00390625" style="235" customWidth="1"/>
    <col min="4" max="4" width="15.625" style="235" customWidth="1"/>
    <col min="5" max="5" width="14.25390625" style="235" customWidth="1"/>
    <col min="6" max="6" width="13.25390625" style="235" customWidth="1"/>
    <col min="7" max="7" width="18.875" style="235" customWidth="1"/>
    <col min="8" max="8" width="33.25390625" style="235" customWidth="1"/>
    <col min="9" max="9" width="8.375" style="235" hidden="1" customWidth="1"/>
    <col min="10" max="10" width="15.625" style="235" customWidth="1"/>
    <col min="11" max="11" width="25.625" style="235" customWidth="1"/>
    <col min="12" max="12" width="14.125" style="235" customWidth="1"/>
    <col min="13" max="16" width="12.00390625" style="235" customWidth="1"/>
    <col min="17" max="17" width="11.75390625" style="235" customWidth="1"/>
    <col min="18" max="18" width="16.25390625" style="235" customWidth="1"/>
    <col min="19" max="19" width="33.00390625" style="235" customWidth="1"/>
    <col min="20" max="20" width="8.625" style="235" customWidth="1"/>
    <col min="21" max="21" width="9.75390625" style="235" hidden="1" customWidth="1"/>
    <col min="22" max="22" width="15.625" style="235" customWidth="1"/>
    <col min="23" max="23" width="28.125" style="235" customWidth="1"/>
    <col min="24" max="24" width="19.25390625" style="235" customWidth="1"/>
    <col min="25" max="25" width="14.00390625" style="235" customWidth="1"/>
    <col min="26" max="26" width="27.375" style="235" customWidth="1"/>
    <col min="27" max="27" width="43.75390625" style="235" customWidth="1"/>
    <col min="28" max="28" width="13.125" style="235" customWidth="1"/>
    <col min="29" max="29" width="5.875" style="235" hidden="1" customWidth="1"/>
    <col min="30" max="30" width="25.75390625" style="235" customWidth="1"/>
    <col min="31" max="31" width="29.00390625" style="235" customWidth="1"/>
    <col min="32" max="32" width="30.125" style="235" customWidth="1"/>
    <col min="33" max="33" width="15.125" style="235" customWidth="1"/>
    <col min="34" max="34" width="24.25390625" style="235" customWidth="1"/>
    <col min="35" max="35" width="38.00390625" style="235" customWidth="1"/>
    <col min="36" max="36" width="14.125" style="235" customWidth="1"/>
    <col min="37" max="37" width="1.625" style="235" hidden="1" customWidth="1"/>
    <col min="38" max="38" width="19.00390625" style="235" customWidth="1"/>
    <col min="39" max="39" width="6.125" style="235" hidden="1" customWidth="1"/>
    <col min="40" max="40" width="5.00390625" style="235" hidden="1" customWidth="1"/>
    <col min="41" max="41" width="8.125" style="235" hidden="1" customWidth="1"/>
    <col min="42" max="42" width="2.75390625" style="235" hidden="1" customWidth="1"/>
    <col min="43" max="43" width="12.00390625" style="235" hidden="1" customWidth="1"/>
    <col min="44" max="44" width="4.875" style="235" hidden="1" customWidth="1"/>
    <col min="45" max="45" width="13.25390625" style="235" hidden="1" customWidth="1"/>
    <col min="46" max="46" width="22.875" style="235" customWidth="1"/>
    <col min="47" max="47" width="18.625" style="235" customWidth="1"/>
    <col min="48" max="48" width="18.375" style="235" customWidth="1"/>
    <col min="49" max="49" width="15.00390625" style="235" customWidth="1"/>
    <col min="50" max="50" width="14.625" style="235" customWidth="1"/>
    <col min="51" max="51" width="18.25390625" style="235" customWidth="1"/>
    <col min="52" max="52" width="34.875" style="235" customWidth="1"/>
    <col min="53" max="53" width="15.625" style="235" customWidth="1"/>
    <col min="54" max="54" width="9.125" style="235" hidden="1" customWidth="1"/>
    <col min="55" max="55" width="12.875" style="235" customWidth="1"/>
    <col min="56" max="56" width="19.875" style="235" customWidth="1"/>
    <col min="57" max="57" width="2.875" style="235" hidden="1" customWidth="1"/>
    <col min="58" max="59" width="13.00390625" style="235" customWidth="1"/>
    <col min="60" max="60" width="12.00390625" style="235" customWidth="1"/>
    <col min="61" max="61" width="12.875" style="235" customWidth="1"/>
    <col min="62" max="62" width="12.00390625" style="235" customWidth="1"/>
    <col min="63" max="63" width="13.875" style="235" customWidth="1"/>
    <col min="64" max="64" width="29.375" style="235" customWidth="1"/>
    <col min="65" max="65" width="8.125" style="235" customWidth="1"/>
    <col min="66" max="66" width="1.12109375" style="235" hidden="1" customWidth="1"/>
    <col min="67" max="67" width="7.375" style="235" customWidth="1"/>
    <col min="68" max="68" width="10.25390625" style="235" customWidth="1"/>
    <col min="69" max="69" width="10.625" style="235" bestFit="1" customWidth="1"/>
    <col min="70" max="70" width="10.375" style="235" customWidth="1"/>
    <col min="71" max="71" width="12.25390625" style="235" customWidth="1"/>
    <col min="72" max="72" width="9.375" style="235" bestFit="1" customWidth="1"/>
    <col min="73" max="252" width="9.125" style="235" customWidth="1"/>
    <col min="253" max="253" width="27.375" style="235" customWidth="1"/>
    <col min="254" max="254" width="16.875" style="235" customWidth="1"/>
    <col min="255" max="255" width="15.00390625" style="235" customWidth="1"/>
    <col min="256" max="16384" width="11.875" style="235" customWidth="1"/>
  </cols>
  <sheetData>
    <row r="1" spans="1:10" ht="18.75">
      <c r="A1" s="1433" t="s">
        <v>463</v>
      </c>
      <c r="B1" s="1433"/>
      <c r="C1" s="1433"/>
      <c r="D1" s="1433"/>
      <c r="E1" s="1433"/>
      <c r="F1" s="1433"/>
      <c r="G1" s="1433"/>
      <c r="H1" s="1433"/>
      <c r="I1" s="1433"/>
      <c r="J1" s="1433"/>
    </row>
    <row r="2" spans="1:73" ht="76.5" customHeight="1">
      <c r="A2" s="1436" t="s">
        <v>523</v>
      </c>
      <c r="B2" s="1436"/>
      <c r="C2" s="1436"/>
      <c r="D2" s="1436"/>
      <c r="E2" s="1436"/>
      <c r="F2" s="1436"/>
      <c r="G2" s="1436"/>
      <c r="H2" s="1436"/>
      <c r="I2" s="1436"/>
      <c r="J2" s="1436"/>
      <c r="K2" s="618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8"/>
      <c r="X2" s="619"/>
      <c r="Y2" s="619"/>
      <c r="Z2" s="619"/>
      <c r="AA2" s="619"/>
      <c r="AB2" s="619"/>
      <c r="AC2" s="619"/>
      <c r="AD2" s="619"/>
      <c r="AE2" s="619"/>
      <c r="AF2" s="619"/>
      <c r="AG2" s="619"/>
      <c r="AH2" s="619"/>
      <c r="AI2" s="619"/>
      <c r="AJ2" s="619"/>
      <c r="AK2" s="619"/>
      <c r="AL2" s="619"/>
      <c r="AM2" s="619"/>
      <c r="AN2" s="619"/>
      <c r="AO2" s="619"/>
      <c r="AP2" s="619"/>
      <c r="AQ2" s="619"/>
      <c r="AR2" s="619"/>
      <c r="AS2" s="619"/>
      <c r="AT2" s="619"/>
      <c r="AU2" s="619"/>
      <c r="AV2" s="619"/>
      <c r="AW2" s="619"/>
      <c r="AX2" s="619"/>
      <c r="AY2" s="619"/>
      <c r="AZ2" s="619"/>
      <c r="BA2" s="619"/>
      <c r="BB2" s="619"/>
      <c r="BC2" s="619"/>
      <c r="BD2" s="619"/>
      <c r="BE2" s="619"/>
      <c r="BF2" s="619"/>
      <c r="BG2" s="619"/>
      <c r="BH2" s="619"/>
      <c r="BI2" s="619"/>
      <c r="BJ2" s="619"/>
      <c r="BK2" s="619"/>
      <c r="BL2" s="619"/>
      <c r="BM2" s="619"/>
      <c r="BN2" s="619"/>
      <c r="BO2" s="619"/>
      <c r="BP2" s="356"/>
      <c r="BQ2" s="356"/>
      <c r="BR2" s="356"/>
      <c r="BS2" s="356"/>
      <c r="BT2" s="356"/>
      <c r="BU2" s="356"/>
    </row>
    <row r="3" spans="1:73" ht="12.75">
      <c r="A3" s="1509"/>
      <c r="B3" s="1509"/>
      <c r="C3" s="1509"/>
      <c r="D3" s="1509"/>
      <c r="E3" s="1509"/>
      <c r="F3" s="1509"/>
      <c r="G3" s="1509"/>
      <c r="H3" s="1509"/>
      <c r="I3" s="1509"/>
      <c r="J3" s="1509"/>
      <c r="K3" s="618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8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619"/>
      <c r="AN3" s="619"/>
      <c r="AO3" s="619"/>
      <c r="AP3" s="619"/>
      <c r="AQ3" s="619"/>
      <c r="AR3" s="619"/>
      <c r="AS3" s="619"/>
      <c r="AT3" s="619"/>
      <c r="AU3" s="619"/>
      <c r="AV3" s="619"/>
      <c r="AW3" s="619"/>
      <c r="AX3" s="619"/>
      <c r="AY3" s="619"/>
      <c r="AZ3" s="619"/>
      <c r="BA3" s="619"/>
      <c r="BB3" s="619"/>
      <c r="BC3" s="619"/>
      <c r="BD3" s="619"/>
      <c r="BE3" s="619"/>
      <c r="BF3" s="619"/>
      <c r="BG3" s="619"/>
      <c r="BH3" s="619"/>
      <c r="BI3" s="619"/>
      <c r="BJ3" s="619"/>
      <c r="BK3" s="619"/>
      <c r="BL3" s="619"/>
      <c r="BM3" s="619"/>
      <c r="BN3" s="619"/>
      <c r="BO3" s="619"/>
      <c r="BP3" s="375"/>
      <c r="BQ3" s="356"/>
      <c r="BR3" s="356"/>
      <c r="BS3" s="356"/>
      <c r="BT3" s="356"/>
      <c r="BU3" s="356"/>
    </row>
    <row r="4" spans="1:73" ht="12.75">
      <c r="A4" s="1509"/>
      <c r="B4" s="1509"/>
      <c r="C4" s="1509"/>
      <c r="D4" s="1509"/>
      <c r="E4" s="1509"/>
      <c r="F4" s="1509"/>
      <c r="G4" s="1509"/>
      <c r="H4" s="1509"/>
      <c r="I4" s="1509"/>
      <c r="J4" s="1509"/>
      <c r="K4" s="618"/>
      <c r="L4" s="619"/>
      <c r="M4" s="619"/>
      <c r="N4" s="619"/>
      <c r="O4" s="619"/>
      <c r="P4" s="619"/>
      <c r="Q4" s="619"/>
      <c r="R4" s="619"/>
      <c r="S4" s="619"/>
      <c r="T4" s="619"/>
      <c r="U4" s="619"/>
      <c r="V4" s="619"/>
      <c r="W4" s="618"/>
      <c r="X4" s="619"/>
      <c r="Y4" s="619"/>
      <c r="Z4" s="619"/>
      <c r="AA4" s="619"/>
      <c r="AB4" s="619"/>
      <c r="AC4" s="619"/>
      <c r="AD4" s="619"/>
      <c r="AE4" s="619"/>
      <c r="AF4" s="619"/>
      <c r="AG4" s="619"/>
      <c r="AH4" s="619"/>
      <c r="AI4" s="619"/>
      <c r="AJ4" s="619"/>
      <c r="AK4" s="619"/>
      <c r="AL4" s="619"/>
      <c r="AM4" s="619"/>
      <c r="AN4" s="619"/>
      <c r="AO4" s="619"/>
      <c r="AP4" s="619"/>
      <c r="AQ4" s="619"/>
      <c r="AR4" s="619"/>
      <c r="AS4" s="619"/>
      <c r="AT4" s="619"/>
      <c r="AU4" s="619"/>
      <c r="AV4" s="619"/>
      <c r="AW4" s="619"/>
      <c r="AX4" s="619"/>
      <c r="AY4" s="619"/>
      <c r="AZ4" s="619"/>
      <c r="BA4" s="619"/>
      <c r="BB4" s="619"/>
      <c r="BC4" s="619"/>
      <c r="BD4" s="619"/>
      <c r="BE4" s="619"/>
      <c r="BF4" s="619"/>
      <c r="BG4" s="619"/>
      <c r="BH4" s="619"/>
      <c r="BI4" s="619"/>
      <c r="BJ4" s="619"/>
      <c r="BK4" s="619"/>
      <c r="BL4" s="619"/>
      <c r="BM4" s="619"/>
      <c r="BN4" s="619"/>
      <c r="BO4" s="619"/>
      <c r="BP4" s="375"/>
      <c r="BQ4" s="356"/>
      <c r="BR4" s="356"/>
      <c r="BS4" s="356"/>
      <c r="BT4" s="356"/>
      <c r="BU4" s="356"/>
    </row>
    <row r="5" spans="1:256" ht="15.75" thickBot="1">
      <c r="A5" s="653"/>
      <c r="B5" s="654"/>
      <c r="C5" s="654"/>
      <c r="D5" s="654"/>
      <c r="E5" s="654"/>
      <c r="F5" s="654"/>
      <c r="G5" s="654"/>
      <c r="H5" s="654"/>
      <c r="I5" s="654"/>
      <c r="J5" s="655" t="s">
        <v>175</v>
      </c>
      <c r="K5" s="653"/>
      <c r="L5" s="656"/>
      <c r="M5" s="656"/>
      <c r="N5" s="656"/>
      <c r="O5" s="656"/>
      <c r="P5" s="656"/>
      <c r="Q5" s="656"/>
      <c r="R5" s="656"/>
      <c r="S5" s="656"/>
      <c r="T5" s="656"/>
      <c r="U5" s="656"/>
      <c r="V5" s="655" t="s">
        <v>175</v>
      </c>
      <c r="W5" s="653"/>
      <c r="X5" s="656"/>
      <c r="Y5" s="656"/>
      <c r="Z5" s="656"/>
      <c r="AA5" s="656"/>
      <c r="AB5" s="656"/>
      <c r="AC5" s="656"/>
      <c r="AD5" s="655" t="s">
        <v>175</v>
      </c>
      <c r="AE5" s="657"/>
      <c r="AF5" s="656"/>
      <c r="AG5" s="656"/>
      <c r="AH5" s="656"/>
      <c r="AI5" s="656"/>
      <c r="AJ5" s="656"/>
      <c r="AK5" s="656"/>
      <c r="AL5" s="655" t="s">
        <v>175</v>
      </c>
      <c r="AM5" s="657"/>
      <c r="AN5" s="656"/>
      <c r="AO5" s="656"/>
      <c r="AP5" s="656"/>
      <c r="AQ5" s="656"/>
      <c r="AR5" s="656"/>
      <c r="AS5" s="656"/>
      <c r="AT5" s="657"/>
      <c r="AU5" s="656"/>
      <c r="AV5" s="656"/>
      <c r="AW5" s="656"/>
      <c r="AX5" s="656"/>
      <c r="AY5" s="656"/>
      <c r="AZ5" s="656"/>
      <c r="BA5" s="656"/>
      <c r="BB5" s="656"/>
      <c r="BC5" s="655" t="s">
        <v>175</v>
      </c>
      <c r="BD5" s="657"/>
      <c r="BE5" s="656"/>
      <c r="BF5" s="656"/>
      <c r="BG5" s="656"/>
      <c r="BH5" s="656"/>
      <c r="BI5" s="656"/>
      <c r="BJ5" s="656"/>
      <c r="BK5" s="656"/>
      <c r="BL5" s="656"/>
      <c r="BM5" s="656"/>
      <c r="BN5" s="656"/>
      <c r="BO5" s="656"/>
      <c r="BP5" s="309"/>
      <c r="BQ5" s="309"/>
      <c r="BR5" s="655" t="s">
        <v>175</v>
      </c>
      <c r="BS5" s="309"/>
      <c r="BT5" s="309"/>
      <c r="BU5" s="309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4"/>
      <c r="CH5" s="354"/>
      <c r="CI5" s="354"/>
      <c r="CJ5" s="354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4"/>
      <c r="DC5" s="354"/>
      <c r="DD5" s="354"/>
      <c r="DE5" s="354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4"/>
      <c r="DX5" s="354"/>
      <c r="DY5" s="354"/>
      <c r="DZ5" s="354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4"/>
      <c r="ES5" s="354"/>
      <c r="ET5" s="354"/>
      <c r="EU5" s="354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4"/>
      <c r="FN5" s="354"/>
      <c r="FO5" s="354"/>
      <c r="FP5" s="354"/>
      <c r="FQ5" s="354"/>
      <c r="FR5" s="354"/>
      <c r="FS5" s="354"/>
      <c r="FT5" s="354"/>
      <c r="FU5" s="354"/>
      <c r="FV5" s="354"/>
      <c r="FW5" s="354"/>
      <c r="FX5" s="354"/>
      <c r="FY5" s="354"/>
      <c r="FZ5" s="354"/>
      <c r="GA5" s="354"/>
      <c r="GB5" s="354"/>
      <c r="GC5" s="354"/>
      <c r="GD5" s="354"/>
      <c r="GE5" s="354"/>
      <c r="GF5" s="354"/>
      <c r="GG5" s="354"/>
      <c r="GH5" s="354"/>
      <c r="GI5" s="354"/>
      <c r="GJ5" s="354"/>
      <c r="GK5" s="354"/>
      <c r="GL5" s="354"/>
      <c r="GM5" s="354"/>
      <c r="GN5" s="354"/>
      <c r="GO5" s="354"/>
      <c r="GP5" s="354"/>
      <c r="GQ5" s="354"/>
      <c r="GR5" s="354"/>
      <c r="GS5" s="354"/>
      <c r="GT5" s="354"/>
      <c r="GU5" s="354"/>
      <c r="GV5" s="354"/>
      <c r="GW5" s="354"/>
      <c r="GX5" s="354"/>
      <c r="GY5" s="354"/>
      <c r="GZ5" s="354"/>
      <c r="HA5" s="354"/>
      <c r="HB5" s="354"/>
      <c r="HC5" s="354"/>
      <c r="HD5" s="354"/>
      <c r="HE5" s="354"/>
      <c r="HF5" s="354"/>
      <c r="HG5" s="354"/>
      <c r="HH5" s="354"/>
      <c r="HI5" s="354"/>
      <c r="HJ5" s="354"/>
      <c r="HK5" s="354"/>
      <c r="HL5" s="354"/>
      <c r="HM5" s="354"/>
      <c r="HN5" s="354"/>
      <c r="HO5" s="354"/>
      <c r="HP5" s="354"/>
      <c r="HQ5" s="354"/>
      <c r="HR5" s="354"/>
      <c r="HS5" s="354"/>
      <c r="HT5" s="354"/>
      <c r="HU5" s="354"/>
      <c r="HV5" s="354"/>
      <c r="HW5" s="354"/>
      <c r="HX5" s="354"/>
      <c r="HY5" s="354"/>
      <c r="HZ5" s="354"/>
      <c r="IA5" s="354"/>
      <c r="IB5" s="354"/>
      <c r="IC5" s="354"/>
      <c r="ID5" s="354"/>
      <c r="IE5" s="354"/>
      <c r="IF5" s="354"/>
      <c r="IG5" s="354"/>
      <c r="IH5" s="354"/>
      <c r="II5" s="354"/>
      <c r="IJ5" s="354"/>
      <c r="IK5" s="354"/>
      <c r="IL5" s="354"/>
      <c r="IM5" s="354"/>
      <c r="IN5" s="354"/>
      <c r="IO5" s="354"/>
      <c r="IP5" s="354"/>
      <c r="IQ5" s="354"/>
      <c r="IR5" s="354"/>
      <c r="IS5" s="354"/>
      <c r="IT5" s="354"/>
      <c r="IU5" s="354"/>
      <c r="IV5" s="354"/>
    </row>
    <row r="6" spans="1:82" ht="16.5" thickBot="1">
      <c r="A6" s="1503" t="s">
        <v>29</v>
      </c>
      <c r="B6" s="1506" t="s">
        <v>366</v>
      </c>
      <c r="C6" s="1507"/>
      <c r="D6" s="1507"/>
      <c r="E6" s="1507"/>
      <c r="F6" s="1507"/>
      <c r="G6" s="1507"/>
      <c r="H6" s="1507"/>
      <c r="I6" s="1507"/>
      <c r="J6" s="1508"/>
      <c r="K6" s="1503" t="s">
        <v>29</v>
      </c>
      <c r="L6" s="1506" t="s">
        <v>366</v>
      </c>
      <c r="M6" s="1507"/>
      <c r="N6" s="1507"/>
      <c r="O6" s="1507"/>
      <c r="P6" s="1507"/>
      <c r="Q6" s="1507"/>
      <c r="R6" s="1507"/>
      <c r="S6" s="1507"/>
      <c r="T6" s="1507"/>
      <c r="U6" s="1507"/>
      <c r="V6" s="1508"/>
      <c r="W6" s="1503" t="s">
        <v>29</v>
      </c>
      <c r="X6" s="1506" t="s">
        <v>366</v>
      </c>
      <c r="Y6" s="1507"/>
      <c r="Z6" s="1507"/>
      <c r="AA6" s="1507"/>
      <c r="AB6" s="1507"/>
      <c r="AC6" s="1507"/>
      <c r="AD6" s="1508"/>
      <c r="AE6" s="1503" t="s">
        <v>29</v>
      </c>
      <c r="AF6" s="1506" t="s">
        <v>366</v>
      </c>
      <c r="AG6" s="1507"/>
      <c r="AH6" s="1507"/>
      <c r="AI6" s="1507"/>
      <c r="AJ6" s="1507"/>
      <c r="AK6" s="1507"/>
      <c r="AL6" s="1508"/>
      <c r="AM6" s="1503" t="s">
        <v>29</v>
      </c>
      <c r="AN6" s="1506" t="s">
        <v>366</v>
      </c>
      <c r="AO6" s="1507"/>
      <c r="AP6" s="1507"/>
      <c r="AQ6" s="1507"/>
      <c r="AR6" s="1507"/>
      <c r="AS6" s="1508"/>
      <c r="AT6" s="1503" t="s">
        <v>29</v>
      </c>
      <c r="AU6" s="1506" t="s">
        <v>366</v>
      </c>
      <c r="AV6" s="1507"/>
      <c r="AW6" s="1507"/>
      <c r="AX6" s="1507"/>
      <c r="AY6" s="1507"/>
      <c r="AZ6" s="1507"/>
      <c r="BA6" s="1507"/>
      <c r="BB6" s="1507"/>
      <c r="BC6" s="1508"/>
      <c r="BD6" s="1503" t="s">
        <v>29</v>
      </c>
      <c r="BE6" s="1506" t="s">
        <v>366</v>
      </c>
      <c r="BF6" s="1507"/>
      <c r="BG6" s="1507"/>
      <c r="BH6" s="1507"/>
      <c r="BI6" s="1507"/>
      <c r="BJ6" s="1507"/>
      <c r="BK6" s="1507"/>
      <c r="BL6" s="1507"/>
      <c r="BM6" s="1507"/>
      <c r="BN6" s="1507"/>
      <c r="BO6" s="1508"/>
      <c r="BP6" s="1491" t="s">
        <v>367</v>
      </c>
      <c r="BQ6" s="1494" t="s">
        <v>367</v>
      </c>
      <c r="BR6" s="1494" t="s">
        <v>367</v>
      </c>
      <c r="BS6" s="620"/>
      <c r="BT6" s="620"/>
      <c r="BU6" s="620"/>
      <c r="BV6" s="620"/>
      <c r="BW6" s="620"/>
      <c r="BX6" s="620"/>
      <c r="BY6" s="620"/>
      <c r="BZ6" s="620"/>
      <c r="CA6" s="620"/>
      <c r="CB6" s="620"/>
      <c r="CC6" s="620"/>
      <c r="CD6" s="620"/>
    </row>
    <row r="7" spans="1:256" ht="13.5" thickBot="1">
      <c r="A7" s="1504"/>
      <c r="B7" s="1497" t="s">
        <v>368</v>
      </c>
      <c r="C7" s="1498"/>
      <c r="D7" s="1499"/>
      <c r="E7" s="1500" t="s">
        <v>369</v>
      </c>
      <c r="F7" s="1501"/>
      <c r="G7" s="1501"/>
      <c r="H7" s="1501"/>
      <c r="I7" s="1501"/>
      <c r="J7" s="1502"/>
      <c r="K7" s="1504"/>
      <c r="L7" s="1497" t="s">
        <v>370</v>
      </c>
      <c r="M7" s="1498"/>
      <c r="N7" s="1498"/>
      <c r="O7" s="1498"/>
      <c r="P7" s="1498"/>
      <c r="Q7" s="1498"/>
      <c r="R7" s="1498"/>
      <c r="S7" s="1498"/>
      <c r="T7" s="1498"/>
      <c r="U7" s="1498"/>
      <c r="V7" s="1499"/>
      <c r="W7" s="1504"/>
      <c r="X7" s="1500" t="s">
        <v>371</v>
      </c>
      <c r="Y7" s="1501"/>
      <c r="Z7" s="1501"/>
      <c r="AA7" s="1501"/>
      <c r="AB7" s="1501"/>
      <c r="AC7" s="1501"/>
      <c r="AD7" s="1502"/>
      <c r="AE7" s="1504"/>
      <c r="AF7" s="1500" t="s">
        <v>372</v>
      </c>
      <c r="AG7" s="1501"/>
      <c r="AH7" s="1501"/>
      <c r="AI7" s="1501"/>
      <c r="AJ7" s="1501"/>
      <c r="AK7" s="1501"/>
      <c r="AL7" s="1502"/>
      <c r="AM7" s="1504"/>
      <c r="AN7" s="1500" t="s">
        <v>373</v>
      </c>
      <c r="AO7" s="1501"/>
      <c r="AP7" s="1501"/>
      <c r="AQ7" s="1501"/>
      <c r="AR7" s="1501"/>
      <c r="AS7" s="1502"/>
      <c r="AT7" s="1504"/>
      <c r="AU7" s="1500" t="s">
        <v>374</v>
      </c>
      <c r="AV7" s="1501"/>
      <c r="AW7" s="1501"/>
      <c r="AX7" s="1501"/>
      <c r="AY7" s="1501"/>
      <c r="AZ7" s="1501"/>
      <c r="BA7" s="1501"/>
      <c r="BB7" s="1501"/>
      <c r="BC7" s="1502"/>
      <c r="BD7" s="1504"/>
      <c r="BE7" s="1500" t="s">
        <v>375</v>
      </c>
      <c r="BF7" s="1501"/>
      <c r="BG7" s="1501"/>
      <c r="BH7" s="1501"/>
      <c r="BI7" s="1501"/>
      <c r="BJ7" s="1501"/>
      <c r="BK7" s="1501"/>
      <c r="BL7" s="1501"/>
      <c r="BM7" s="1501"/>
      <c r="BN7" s="1501"/>
      <c r="BO7" s="1502"/>
      <c r="BP7" s="1492"/>
      <c r="BQ7" s="1495"/>
      <c r="BR7" s="1495"/>
      <c r="BS7" s="621"/>
      <c r="BT7" s="621"/>
      <c r="BU7" s="621"/>
      <c r="BV7" s="621"/>
      <c r="BW7" s="621"/>
      <c r="BX7" s="621"/>
      <c r="BY7" s="621"/>
      <c r="BZ7" s="621"/>
      <c r="CA7" s="621"/>
      <c r="CB7" s="621"/>
      <c r="CC7" s="621"/>
      <c r="CD7" s="621"/>
      <c r="CE7" s="622"/>
      <c r="CF7" s="622"/>
      <c r="CG7" s="622"/>
      <c r="CH7" s="622"/>
      <c r="CI7" s="622"/>
      <c r="CJ7" s="622"/>
      <c r="CK7" s="622"/>
      <c r="CL7" s="622"/>
      <c r="CM7" s="622"/>
      <c r="CN7" s="622"/>
      <c r="CO7" s="622"/>
      <c r="CP7" s="622"/>
      <c r="CQ7" s="622"/>
      <c r="CR7" s="622"/>
      <c r="CS7" s="622"/>
      <c r="CT7" s="622"/>
      <c r="CU7" s="622"/>
      <c r="CV7" s="622"/>
      <c r="CW7" s="622"/>
      <c r="CX7" s="622"/>
      <c r="CY7" s="622"/>
      <c r="CZ7" s="622"/>
      <c r="DA7" s="622"/>
      <c r="DB7" s="622"/>
      <c r="DC7" s="622"/>
      <c r="DD7" s="622"/>
      <c r="DE7" s="622"/>
      <c r="DF7" s="622"/>
      <c r="DG7" s="622"/>
      <c r="DH7" s="622"/>
      <c r="DI7" s="622"/>
      <c r="DJ7" s="622"/>
      <c r="DK7" s="622"/>
      <c r="DL7" s="622"/>
      <c r="DM7" s="622"/>
      <c r="DN7" s="622"/>
      <c r="DO7" s="622"/>
      <c r="DP7" s="622"/>
      <c r="DQ7" s="622"/>
      <c r="DR7" s="622"/>
      <c r="DS7" s="622"/>
      <c r="DT7" s="622"/>
      <c r="DU7" s="622"/>
      <c r="DV7" s="622"/>
      <c r="DW7" s="622"/>
      <c r="DX7" s="622"/>
      <c r="DY7" s="622"/>
      <c r="DZ7" s="622"/>
      <c r="EA7" s="622"/>
      <c r="EB7" s="622"/>
      <c r="EC7" s="622"/>
      <c r="ED7" s="622"/>
      <c r="EE7" s="622"/>
      <c r="EF7" s="622"/>
      <c r="EG7" s="622"/>
      <c r="EH7" s="622"/>
      <c r="EI7" s="622"/>
      <c r="EJ7" s="622"/>
      <c r="EK7" s="622"/>
      <c r="EL7" s="622"/>
      <c r="EM7" s="622"/>
      <c r="EN7" s="622"/>
      <c r="EO7" s="622"/>
      <c r="EP7" s="622"/>
      <c r="EQ7" s="622"/>
      <c r="ER7" s="622"/>
      <c r="ES7" s="622"/>
      <c r="ET7" s="622"/>
      <c r="EU7" s="622"/>
      <c r="EV7" s="622"/>
      <c r="EW7" s="622"/>
      <c r="EX7" s="622"/>
      <c r="EY7" s="622"/>
      <c r="EZ7" s="622"/>
      <c r="FA7" s="622"/>
      <c r="FB7" s="622"/>
      <c r="FC7" s="622"/>
      <c r="FD7" s="622"/>
      <c r="FE7" s="622"/>
      <c r="FF7" s="622"/>
      <c r="FG7" s="622"/>
      <c r="FH7" s="622"/>
      <c r="FI7" s="622"/>
      <c r="FJ7" s="622"/>
      <c r="FK7" s="622"/>
      <c r="FL7" s="622"/>
      <c r="FM7" s="622"/>
      <c r="FN7" s="622"/>
      <c r="FO7" s="622"/>
      <c r="FP7" s="622"/>
      <c r="FQ7" s="622"/>
      <c r="FR7" s="622"/>
      <c r="FS7" s="622"/>
      <c r="FT7" s="622"/>
      <c r="FU7" s="622"/>
      <c r="FV7" s="622"/>
      <c r="FW7" s="622"/>
      <c r="FX7" s="622"/>
      <c r="FY7" s="622"/>
      <c r="FZ7" s="622"/>
      <c r="GA7" s="622"/>
      <c r="GB7" s="622"/>
      <c r="GC7" s="622"/>
      <c r="GD7" s="622"/>
      <c r="GE7" s="622"/>
      <c r="GF7" s="622"/>
      <c r="GG7" s="622"/>
      <c r="GH7" s="622"/>
      <c r="GI7" s="622"/>
      <c r="GJ7" s="622"/>
      <c r="GK7" s="622"/>
      <c r="GL7" s="622"/>
      <c r="GM7" s="622"/>
      <c r="GN7" s="622"/>
      <c r="GO7" s="622"/>
      <c r="GP7" s="622"/>
      <c r="GQ7" s="622"/>
      <c r="GR7" s="622"/>
      <c r="GS7" s="622"/>
      <c r="GT7" s="622"/>
      <c r="GU7" s="622"/>
      <c r="GV7" s="622"/>
      <c r="GW7" s="622"/>
      <c r="GX7" s="622"/>
      <c r="GY7" s="622"/>
      <c r="GZ7" s="622"/>
      <c r="HA7" s="622"/>
      <c r="HB7" s="622"/>
      <c r="HC7" s="622"/>
      <c r="HD7" s="622"/>
      <c r="HE7" s="622"/>
      <c r="HF7" s="622"/>
      <c r="HG7" s="622"/>
      <c r="HH7" s="622"/>
      <c r="HI7" s="622"/>
      <c r="HJ7" s="622"/>
      <c r="HK7" s="622"/>
      <c r="HL7" s="622"/>
      <c r="HM7" s="622"/>
      <c r="HN7" s="622"/>
      <c r="HO7" s="622"/>
      <c r="HP7" s="622"/>
      <c r="HQ7" s="622"/>
      <c r="HR7" s="622"/>
      <c r="HS7" s="622"/>
      <c r="HT7" s="622"/>
      <c r="HU7" s="622"/>
      <c r="HV7" s="622"/>
      <c r="HW7" s="622"/>
      <c r="HX7" s="622"/>
      <c r="HY7" s="622"/>
      <c r="HZ7" s="622"/>
      <c r="IA7" s="622"/>
      <c r="IB7" s="622"/>
      <c r="IC7" s="622"/>
      <c r="ID7" s="622"/>
      <c r="IE7" s="622"/>
      <c r="IF7" s="622"/>
      <c r="IG7" s="622"/>
      <c r="IH7" s="622"/>
      <c r="II7" s="622"/>
      <c r="IJ7" s="622"/>
      <c r="IK7" s="622"/>
      <c r="IL7" s="622"/>
      <c r="IM7" s="622"/>
      <c r="IN7" s="622"/>
      <c r="IO7" s="622"/>
      <c r="IP7" s="622"/>
      <c r="IQ7" s="622"/>
      <c r="IR7" s="622"/>
      <c r="IS7" s="622"/>
      <c r="IT7" s="622"/>
      <c r="IU7" s="622"/>
      <c r="IV7" s="622"/>
    </row>
    <row r="8" spans="1:256" ht="210" customHeight="1" thickBot="1">
      <c r="A8" s="1505"/>
      <c r="B8" s="624" t="s">
        <v>376</v>
      </c>
      <c r="C8" s="624" t="s">
        <v>377</v>
      </c>
      <c r="D8" s="624" t="s">
        <v>378</v>
      </c>
      <c r="E8" s="624" t="s">
        <v>379</v>
      </c>
      <c r="F8" s="624" t="s">
        <v>380</v>
      </c>
      <c r="G8" s="624" t="s">
        <v>268</v>
      </c>
      <c r="H8" s="625" t="s">
        <v>381</v>
      </c>
      <c r="I8" s="626"/>
      <c r="J8" s="623" t="s">
        <v>382</v>
      </c>
      <c r="K8" s="1505"/>
      <c r="L8" s="624" t="s">
        <v>383</v>
      </c>
      <c r="M8" s="627" t="s">
        <v>384</v>
      </c>
      <c r="N8" s="627" t="s">
        <v>385</v>
      </c>
      <c r="O8" s="627" t="s">
        <v>386</v>
      </c>
      <c r="P8" s="627" t="s">
        <v>387</v>
      </c>
      <c r="Q8" s="627" t="s">
        <v>388</v>
      </c>
      <c r="R8" s="627" t="s">
        <v>268</v>
      </c>
      <c r="S8" s="625" t="s">
        <v>381</v>
      </c>
      <c r="T8" s="626" t="s">
        <v>270</v>
      </c>
      <c r="U8" s="626"/>
      <c r="V8" s="624" t="s">
        <v>389</v>
      </c>
      <c r="W8" s="1505"/>
      <c r="X8" s="624" t="s">
        <v>276</v>
      </c>
      <c r="Y8" s="624" t="s">
        <v>390</v>
      </c>
      <c r="Z8" s="624" t="s">
        <v>268</v>
      </c>
      <c r="AA8" s="625" t="s">
        <v>391</v>
      </c>
      <c r="AB8" s="626" t="s">
        <v>270</v>
      </c>
      <c r="AC8" s="626"/>
      <c r="AD8" s="624" t="s">
        <v>392</v>
      </c>
      <c r="AE8" s="1505"/>
      <c r="AF8" s="624" t="s">
        <v>393</v>
      </c>
      <c r="AG8" s="627" t="s">
        <v>390</v>
      </c>
      <c r="AH8" s="627" t="s">
        <v>268</v>
      </c>
      <c r="AI8" s="625" t="s">
        <v>391</v>
      </c>
      <c r="AJ8" s="626" t="s">
        <v>270</v>
      </c>
      <c r="AK8" s="626"/>
      <c r="AL8" s="624" t="s">
        <v>394</v>
      </c>
      <c r="AM8" s="1505"/>
      <c r="AN8" s="624" t="s">
        <v>393</v>
      </c>
      <c r="AO8" s="627" t="s">
        <v>390</v>
      </c>
      <c r="AP8" s="627" t="s">
        <v>268</v>
      </c>
      <c r="AQ8" s="625" t="s">
        <v>278</v>
      </c>
      <c r="AR8" s="626" t="s">
        <v>270</v>
      </c>
      <c r="AS8" s="624" t="s">
        <v>395</v>
      </c>
      <c r="AT8" s="1505"/>
      <c r="AU8" s="624" t="s">
        <v>396</v>
      </c>
      <c r="AV8" s="624" t="s">
        <v>397</v>
      </c>
      <c r="AW8" s="624" t="s">
        <v>398</v>
      </c>
      <c r="AX8" s="624" t="s">
        <v>399</v>
      </c>
      <c r="AY8" s="627" t="s">
        <v>268</v>
      </c>
      <c r="AZ8" s="625" t="s">
        <v>381</v>
      </c>
      <c r="BA8" s="626" t="s">
        <v>270</v>
      </c>
      <c r="BB8" s="626"/>
      <c r="BC8" s="624" t="s">
        <v>400</v>
      </c>
      <c r="BD8" s="1505"/>
      <c r="BE8" s="624" t="s">
        <v>401</v>
      </c>
      <c r="BF8" s="624" t="s">
        <v>402</v>
      </c>
      <c r="BG8" s="624" t="s">
        <v>403</v>
      </c>
      <c r="BH8" s="624" t="s">
        <v>404</v>
      </c>
      <c r="BI8" s="624" t="s">
        <v>405</v>
      </c>
      <c r="BJ8" s="624" t="s">
        <v>406</v>
      </c>
      <c r="BK8" s="627" t="s">
        <v>268</v>
      </c>
      <c r="BL8" s="625" t="s">
        <v>407</v>
      </c>
      <c r="BM8" s="626" t="s">
        <v>408</v>
      </c>
      <c r="BN8" s="626"/>
      <c r="BO8" s="624" t="s">
        <v>409</v>
      </c>
      <c r="BP8" s="1493"/>
      <c r="BQ8" s="1496"/>
      <c r="BR8" s="1496"/>
      <c r="BS8" s="626"/>
      <c r="BT8" s="626"/>
      <c r="BU8" s="628"/>
      <c r="BV8" s="626"/>
      <c r="BW8" s="626"/>
      <c r="BX8" s="628"/>
      <c r="BY8" s="629"/>
      <c r="BZ8" s="628"/>
      <c r="CA8" s="630"/>
      <c r="CB8" s="631"/>
      <c r="CC8" s="631"/>
      <c r="CD8" s="632"/>
      <c r="CE8" s="633"/>
      <c r="CF8" s="633"/>
      <c r="CG8" s="633"/>
      <c r="CH8" s="633"/>
      <c r="CI8" s="633"/>
      <c r="CJ8" s="633"/>
      <c r="CK8" s="633"/>
      <c r="CL8" s="633"/>
      <c r="CM8" s="633"/>
      <c r="CN8" s="633"/>
      <c r="CO8" s="633"/>
      <c r="CP8" s="633"/>
      <c r="CQ8" s="633"/>
      <c r="CR8" s="633"/>
      <c r="CS8" s="633"/>
      <c r="CT8" s="633"/>
      <c r="CU8" s="633"/>
      <c r="CV8" s="633"/>
      <c r="CW8" s="633"/>
      <c r="CX8" s="633"/>
      <c r="CY8" s="633"/>
      <c r="CZ8" s="633"/>
      <c r="DA8" s="633"/>
      <c r="DB8" s="633"/>
      <c r="DC8" s="633"/>
      <c r="DD8" s="633"/>
      <c r="DE8" s="633"/>
      <c r="DF8" s="633"/>
      <c r="DG8" s="633"/>
      <c r="DH8" s="633"/>
      <c r="DI8" s="633"/>
      <c r="DJ8" s="633"/>
      <c r="DK8" s="633"/>
      <c r="DL8" s="633"/>
      <c r="DM8" s="633"/>
      <c r="DN8" s="633"/>
      <c r="DO8" s="633"/>
      <c r="DP8" s="633"/>
      <c r="DQ8" s="633"/>
      <c r="DR8" s="633"/>
      <c r="DS8" s="633"/>
      <c r="DT8" s="633"/>
      <c r="DU8" s="633"/>
      <c r="DV8" s="633"/>
      <c r="DW8" s="633"/>
      <c r="DX8" s="633"/>
      <c r="DY8" s="633"/>
      <c r="DZ8" s="633"/>
      <c r="EA8" s="633"/>
      <c r="EB8" s="633"/>
      <c r="EC8" s="633"/>
      <c r="ED8" s="633"/>
      <c r="EE8" s="633"/>
      <c r="EF8" s="633"/>
      <c r="EG8" s="633"/>
      <c r="EH8" s="633"/>
      <c r="EI8" s="633"/>
      <c r="EJ8" s="633"/>
      <c r="EK8" s="633"/>
      <c r="EL8" s="633"/>
      <c r="EM8" s="633"/>
      <c r="EN8" s="633"/>
      <c r="EO8" s="633"/>
      <c r="EP8" s="633"/>
      <c r="EQ8" s="633"/>
      <c r="ER8" s="633"/>
      <c r="ES8" s="633"/>
      <c r="ET8" s="633"/>
      <c r="EU8" s="633"/>
      <c r="EV8" s="633"/>
      <c r="EW8" s="633"/>
      <c r="EX8" s="633"/>
      <c r="EY8" s="633"/>
      <c r="EZ8" s="633"/>
      <c r="FA8" s="633"/>
      <c r="FB8" s="633"/>
      <c r="FC8" s="633"/>
      <c r="FD8" s="633"/>
      <c r="FE8" s="633"/>
      <c r="FF8" s="633"/>
      <c r="FG8" s="633"/>
      <c r="FH8" s="633"/>
      <c r="FI8" s="633"/>
      <c r="FJ8" s="633"/>
      <c r="FK8" s="633"/>
      <c r="FL8" s="633"/>
      <c r="FM8" s="633"/>
      <c r="FN8" s="633"/>
      <c r="FO8" s="633"/>
      <c r="FP8" s="633"/>
      <c r="FQ8" s="633"/>
      <c r="FR8" s="633"/>
      <c r="FS8" s="633"/>
      <c r="FT8" s="633"/>
      <c r="FU8" s="633"/>
      <c r="FV8" s="633"/>
      <c r="FW8" s="633"/>
      <c r="FX8" s="633"/>
      <c r="FY8" s="633"/>
      <c r="FZ8" s="633"/>
      <c r="GA8" s="633"/>
      <c r="GB8" s="633"/>
      <c r="GC8" s="633"/>
      <c r="GD8" s="633"/>
      <c r="GE8" s="633"/>
      <c r="GF8" s="633"/>
      <c r="GG8" s="633"/>
      <c r="GH8" s="633"/>
      <c r="GI8" s="633"/>
      <c r="GJ8" s="633"/>
      <c r="GK8" s="633"/>
      <c r="GL8" s="633"/>
      <c r="GM8" s="633"/>
      <c r="GN8" s="633"/>
      <c r="GO8" s="633"/>
      <c r="GP8" s="633"/>
      <c r="GQ8" s="633"/>
      <c r="GR8" s="633"/>
      <c r="GS8" s="633"/>
      <c r="GT8" s="633"/>
      <c r="GU8" s="633"/>
      <c r="GV8" s="633"/>
      <c r="GW8" s="633"/>
      <c r="GX8" s="633"/>
      <c r="GY8" s="633"/>
      <c r="GZ8" s="633"/>
      <c r="HA8" s="633"/>
      <c r="HB8" s="633"/>
      <c r="HC8" s="633"/>
      <c r="HD8" s="633"/>
      <c r="HE8" s="633"/>
      <c r="HF8" s="633"/>
      <c r="HG8" s="633"/>
      <c r="HH8" s="633"/>
      <c r="HI8" s="633"/>
      <c r="HJ8" s="633"/>
      <c r="HK8" s="633"/>
      <c r="HL8" s="633"/>
      <c r="HM8" s="633"/>
      <c r="HN8" s="633"/>
      <c r="HO8" s="633"/>
      <c r="HP8" s="633"/>
      <c r="HQ8" s="633"/>
      <c r="HR8" s="633"/>
      <c r="HS8" s="633"/>
      <c r="HT8" s="633"/>
      <c r="HU8" s="633"/>
      <c r="HV8" s="633"/>
      <c r="HW8" s="633"/>
      <c r="HX8" s="633"/>
      <c r="HY8" s="633"/>
      <c r="HZ8" s="633"/>
      <c r="IA8" s="633"/>
      <c r="IB8" s="633"/>
      <c r="IC8" s="633"/>
      <c r="ID8" s="633"/>
      <c r="IE8" s="633"/>
      <c r="IF8" s="633"/>
      <c r="IG8" s="633"/>
      <c r="IH8" s="633"/>
      <c r="II8" s="633"/>
      <c r="IJ8" s="633"/>
      <c r="IK8" s="633"/>
      <c r="IL8" s="633"/>
      <c r="IM8" s="633"/>
      <c r="IN8" s="633"/>
      <c r="IO8" s="633"/>
      <c r="IP8" s="633"/>
      <c r="IQ8" s="633"/>
      <c r="IR8" s="633"/>
      <c r="IS8" s="633"/>
      <c r="IT8" s="633"/>
      <c r="IU8" s="633"/>
      <c r="IV8" s="633"/>
    </row>
    <row r="9" spans="1:70" ht="13.5" thickBot="1">
      <c r="A9" s="634">
        <v>1</v>
      </c>
      <c r="B9" s="634">
        <v>2</v>
      </c>
      <c r="C9" s="634">
        <v>3</v>
      </c>
      <c r="D9" s="634">
        <v>4</v>
      </c>
      <c r="E9" s="634">
        <v>5</v>
      </c>
      <c r="F9" s="634">
        <v>6</v>
      </c>
      <c r="G9" s="634">
        <v>7</v>
      </c>
      <c r="H9" s="634">
        <v>8</v>
      </c>
      <c r="I9" s="634"/>
      <c r="J9" s="366">
        <v>9</v>
      </c>
      <c r="K9" s="634">
        <v>10</v>
      </c>
      <c r="L9" s="634">
        <v>11</v>
      </c>
      <c r="M9" s="635">
        <v>12</v>
      </c>
      <c r="N9" s="635">
        <v>13</v>
      </c>
      <c r="O9" s="635">
        <v>14</v>
      </c>
      <c r="P9" s="635">
        <v>15</v>
      </c>
      <c r="Q9" s="635">
        <v>16</v>
      </c>
      <c r="R9" s="635">
        <v>17</v>
      </c>
      <c r="S9" s="635">
        <v>18</v>
      </c>
      <c r="T9" s="636">
        <v>19</v>
      </c>
      <c r="U9" s="637"/>
      <c r="V9" s="634">
        <v>20</v>
      </c>
      <c r="W9" s="634">
        <v>21</v>
      </c>
      <c r="X9" s="634">
        <v>22</v>
      </c>
      <c r="Y9" s="634">
        <v>23</v>
      </c>
      <c r="Z9" s="634">
        <v>24</v>
      </c>
      <c r="AA9" s="634">
        <v>25</v>
      </c>
      <c r="AB9" s="634">
        <v>26</v>
      </c>
      <c r="AC9" s="634"/>
      <c r="AD9" s="634">
        <v>27</v>
      </c>
      <c r="AE9" s="634">
        <v>28</v>
      </c>
      <c r="AF9" s="634">
        <v>29</v>
      </c>
      <c r="AG9" s="635">
        <v>30</v>
      </c>
      <c r="AH9" s="635">
        <v>31</v>
      </c>
      <c r="AI9" s="634">
        <v>32</v>
      </c>
      <c r="AJ9" s="634">
        <v>33</v>
      </c>
      <c r="AK9" s="634"/>
      <c r="AL9" s="634">
        <v>34</v>
      </c>
      <c r="AM9" s="634">
        <v>1</v>
      </c>
      <c r="AN9" s="634">
        <v>10</v>
      </c>
      <c r="AO9" s="635"/>
      <c r="AP9" s="635"/>
      <c r="AQ9" s="634"/>
      <c r="AR9" s="634"/>
      <c r="AS9" s="634">
        <v>11</v>
      </c>
      <c r="AT9" s="634">
        <v>35</v>
      </c>
      <c r="AU9" s="634">
        <v>36</v>
      </c>
      <c r="AV9" s="634">
        <v>37</v>
      </c>
      <c r="AW9" s="634">
        <v>38</v>
      </c>
      <c r="AX9" s="634">
        <v>39</v>
      </c>
      <c r="AY9" s="634">
        <v>40</v>
      </c>
      <c r="AZ9" s="634">
        <v>41</v>
      </c>
      <c r="BA9" s="634">
        <v>42</v>
      </c>
      <c r="BB9" s="634"/>
      <c r="BC9" s="634">
        <v>43</v>
      </c>
      <c r="BD9" s="366">
        <v>44</v>
      </c>
      <c r="BE9" s="638">
        <v>14</v>
      </c>
      <c r="BF9" s="639">
        <v>45</v>
      </c>
      <c r="BG9" s="639">
        <v>46</v>
      </c>
      <c r="BH9" s="639">
        <v>47</v>
      </c>
      <c r="BI9" s="639">
        <v>48</v>
      </c>
      <c r="BJ9" s="639">
        <v>49</v>
      </c>
      <c r="BK9" s="639">
        <v>50</v>
      </c>
      <c r="BL9" s="639">
        <v>51</v>
      </c>
      <c r="BM9" s="639">
        <v>52</v>
      </c>
      <c r="BN9" s="639"/>
      <c r="BO9" s="639">
        <v>53</v>
      </c>
      <c r="BP9" s="652">
        <v>54</v>
      </c>
      <c r="BQ9" s="650">
        <v>55</v>
      </c>
      <c r="BR9" s="651">
        <v>56</v>
      </c>
    </row>
    <row r="10" spans="1:72" s="354" customFormat="1" ht="15.75" customHeight="1">
      <c r="A10" s="922" t="s">
        <v>35</v>
      </c>
      <c r="B10" s="923">
        <v>43</v>
      </c>
      <c r="C10" s="924">
        <f aca="true" t="shared" si="0" ref="C10:C19">D10/B10</f>
        <v>32.899069767441866</v>
      </c>
      <c r="D10" s="925">
        <f>1678.15-82.64-180.85</f>
        <v>1414.66</v>
      </c>
      <c r="E10" s="923">
        <f>27-13</f>
        <v>14</v>
      </c>
      <c r="F10" s="923">
        <v>11.944</v>
      </c>
      <c r="G10" s="923">
        <v>2.5</v>
      </c>
      <c r="H10" s="923">
        <v>1.302</v>
      </c>
      <c r="I10" s="926">
        <f>E10*F10*G10*H10</f>
        <v>544.28808</v>
      </c>
      <c r="J10" s="927">
        <f>H10*G10*F10*E10</f>
        <v>544.28808</v>
      </c>
      <c r="K10" s="922" t="s">
        <v>35</v>
      </c>
      <c r="L10" s="928">
        <f>752-30-100</f>
        <v>622</v>
      </c>
      <c r="M10" s="929">
        <f>486+80-80-40</f>
        <v>446</v>
      </c>
      <c r="N10" s="929">
        <f>141-50-20</f>
        <v>71</v>
      </c>
      <c r="O10" s="930">
        <v>0.675</v>
      </c>
      <c r="P10" s="930">
        <v>0.419</v>
      </c>
      <c r="Q10" s="930">
        <v>0.209</v>
      </c>
      <c r="R10" s="931">
        <v>2.5</v>
      </c>
      <c r="S10" s="931">
        <v>1.302</v>
      </c>
      <c r="T10" s="932">
        <v>12</v>
      </c>
      <c r="U10" s="933">
        <f>(L10*O10+M10*P10+N10*Q10)*R10*S10*T10</f>
        <v>24278.250780000006</v>
      </c>
      <c r="V10" s="934">
        <f>(L10*O10*R10*S10*T10)+(M10*P10*R10*S10*T10)+(N10*Q10*R10*S10*T10)</f>
        <v>24278.25078</v>
      </c>
      <c r="W10" s="922" t="s">
        <v>35</v>
      </c>
      <c r="X10" s="923">
        <v>21</v>
      </c>
      <c r="Y10" s="935">
        <v>0.9</v>
      </c>
      <c r="Z10" s="923">
        <v>2.5</v>
      </c>
      <c r="AA10" s="923">
        <v>1.302</v>
      </c>
      <c r="AB10" s="923">
        <v>12</v>
      </c>
      <c r="AC10" s="936">
        <f>X10*Y10*Z10*AA10*AB10</f>
        <v>738.2340000000002</v>
      </c>
      <c r="AD10" s="925">
        <v>738.2</v>
      </c>
      <c r="AE10" s="922" t="s">
        <v>35</v>
      </c>
      <c r="AF10" s="937" t="s">
        <v>410</v>
      </c>
      <c r="AG10" s="938" t="s">
        <v>411</v>
      </c>
      <c r="AH10" s="938" t="s">
        <v>412</v>
      </c>
      <c r="AI10" s="937" t="s">
        <v>413</v>
      </c>
      <c r="AJ10" s="923">
        <v>12</v>
      </c>
      <c r="AK10" s="939">
        <f>AF10*AG10*AH10*AI10*AJ10</f>
        <v>349.78229999999996</v>
      </c>
      <c r="AL10" s="925">
        <v>349.8</v>
      </c>
      <c r="AM10" s="922" t="s">
        <v>35</v>
      </c>
      <c r="AN10" s="937" t="s">
        <v>414</v>
      </c>
      <c r="AO10" s="938" t="s">
        <v>415</v>
      </c>
      <c r="AP10" s="938" t="s">
        <v>412</v>
      </c>
      <c r="AQ10" s="937" t="s">
        <v>416</v>
      </c>
      <c r="AR10" s="923">
        <v>12</v>
      </c>
      <c r="AS10" s="925">
        <f>AN10*AO10*AP10*AQ10*AR10</f>
        <v>300.94350000000003</v>
      </c>
      <c r="AT10" s="922" t="s">
        <v>35</v>
      </c>
      <c r="AU10" s="923">
        <v>19</v>
      </c>
      <c r="AV10" s="923">
        <v>13</v>
      </c>
      <c r="AW10" s="923">
        <v>0.747</v>
      </c>
      <c r="AX10" s="923">
        <v>1.047</v>
      </c>
      <c r="AY10" s="923">
        <v>2.5</v>
      </c>
      <c r="AZ10" s="923">
        <v>1.302</v>
      </c>
      <c r="BA10" s="923">
        <v>12</v>
      </c>
      <c r="BB10" s="940">
        <f>(AU10*AW10+AV10*AX10)*AY10*AZ10*BA10</f>
        <v>1086.0242399999997</v>
      </c>
      <c r="BC10" s="925">
        <v>1086</v>
      </c>
      <c r="BD10" s="941" t="s">
        <v>35</v>
      </c>
      <c r="BE10" s="942"/>
      <c r="BF10" s="943">
        <v>4</v>
      </c>
      <c r="BG10" s="943">
        <v>0</v>
      </c>
      <c r="BH10" s="943">
        <v>0</v>
      </c>
      <c r="BI10" s="944">
        <v>0.507</v>
      </c>
      <c r="BJ10" s="943">
        <v>0</v>
      </c>
      <c r="BK10" s="945">
        <v>2.5</v>
      </c>
      <c r="BL10" s="944">
        <v>1.302</v>
      </c>
      <c r="BM10" s="943">
        <v>12</v>
      </c>
      <c r="BN10" s="946">
        <f>(BE10*BH10+BF10*BI10+BG10*BJ10)*BK10*BL10*BM10</f>
        <v>79.21368000000001</v>
      </c>
      <c r="BO10" s="945">
        <v>79.2</v>
      </c>
      <c r="BP10" s="947">
        <f>BO10+BC10+AL10+AD10+V10+J10+D10</f>
        <v>28490.398859999998</v>
      </c>
      <c r="BQ10" s="948">
        <v>28490.4</v>
      </c>
      <c r="BR10" s="949">
        <v>28490.4</v>
      </c>
      <c r="BT10" s="950"/>
    </row>
    <row r="11" spans="1:72" s="354" customFormat="1" ht="30" customHeight="1">
      <c r="A11" s="951" t="s">
        <v>479</v>
      </c>
      <c r="B11" s="952">
        <v>5</v>
      </c>
      <c r="C11" s="953">
        <f>D11/B11</f>
        <v>34.64</v>
      </c>
      <c r="D11" s="954">
        <v>173.2</v>
      </c>
      <c r="E11" s="952">
        <v>2</v>
      </c>
      <c r="F11" s="952">
        <v>11.944</v>
      </c>
      <c r="G11" s="952">
        <v>2.5</v>
      </c>
      <c r="H11" s="952">
        <v>1.302</v>
      </c>
      <c r="I11" s="926">
        <f>E11*F11*G11*H11</f>
        <v>77.75544000000001</v>
      </c>
      <c r="J11" s="927">
        <f>H11*G11*F11*E11</f>
        <v>77.75544000000001</v>
      </c>
      <c r="K11" s="955" t="str">
        <f>A11</f>
        <v>Омсукчанский городской округ</v>
      </c>
      <c r="L11" s="956">
        <f>27+15-19</f>
        <v>23</v>
      </c>
      <c r="M11" s="957">
        <v>29</v>
      </c>
      <c r="N11" s="957">
        <f>50-47</f>
        <v>3</v>
      </c>
      <c r="O11" s="930">
        <v>0.675</v>
      </c>
      <c r="P11" s="930">
        <v>0.419</v>
      </c>
      <c r="Q11" s="930">
        <v>0.209</v>
      </c>
      <c r="R11" s="958">
        <v>2.5</v>
      </c>
      <c r="S11" s="958">
        <v>1.302</v>
      </c>
      <c r="T11" s="959">
        <v>12</v>
      </c>
      <c r="U11" s="933">
        <f>(L11*O11+M11*P11+N11*Q11)*R11*S11*T11</f>
        <v>1105.5151800000003</v>
      </c>
      <c r="V11" s="960">
        <f>(L11*O11*R11*S11*T11)+(M11*P11*R11*S11*T11)+(N11*Q11*R11*S11*T11)+0.03</f>
        <v>1105.54518</v>
      </c>
      <c r="W11" s="955" t="str">
        <f>K11</f>
        <v>Омсукчанский городской округ</v>
      </c>
      <c r="X11" s="952">
        <v>2</v>
      </c>
      <c r="Y11" s="935">
        <v>0.9</v>
      </c>
      <c r="Z11" s="952">
        <v>2.5</v>
      </c>
      <c r="AA11" s="952">
        <v>1.302</v>
      </c>
      <c r="AB11" s="952">
        <v>12</v>
      </c>
      <c r="AC11" s="936">
        <f>X11*Y11*Z11*AA11*AB11</f>
        <v>70.30799999999999</v>
      </c>
      <c r="AD11" s="954">
        <v>70.3</v>
      </c>
      <c r="AE11" s="955" t="str">
        <f>K11</f>
        <v>Омсукчанский городской округ</v>
      </c>
      <c r="AF11" s="961" t="s">
        <v>418</v>
      </c>
      <c r="AG11" s="962" t="s">
        <v>411</v>
      </c>
      <c r="AH11" s="962" t="s">
        <v>412</v>
      </c>
      <c r="AI11" s="961" t="s">
        <v>413</v>
      </c>
      <c r="AJ11" s="952">
        <v>12</v>
      </c>
      <c r="AK11" s="939">
        <f>AF11*AG11*AH11*AI11*AJ11</f>
        <v>69.95646</v>
      </c>
      <c r="AL11" s="925">
        <v>70</v>
      </c>
      <c r="AM11" s="955" t="s">
        <v>30</v>
      </c>
      <c r="AN11" s="961" t="s">
        <v>418</v>
      </c>
      <c r="AO11" s="962" t="s">
        <v>415</v>
      </c>
      <c r="AP11" s="962" t="s">
        <v>412</v>
      </c>
      <c r="AQ11" s="961" t="s">
        <v>416</v>
      </c>
      <c r="AR11" s="952">
        <v>12</v>
      </c>
      <c r="AS11" s="925">
        <f>AN11*AO11*AP11*AQ11*AR11</f>
        <v>36.113220000000005</v>
      </c>
      <c r="AT11" s="955" t="str">
        <f>K11</f>
        <v>Омсукчанский городской округ</v>
      </c>
      <c r="AU11" s="952">
        <v>3</v>
      </c>
      <c r="AV11" s="952">
        <v>0</v>
      </c>
      <c r="AW11" s="952">
        <v>0.747</v>
      </c>
      <c r="AX11" s="952">
        <v>1.047</v>
      </c>
      <c r="AY11" s="952">
        <v>2.5</v>
      </c>
      <c r="AZ11" s="952">
        <v>1.302</v>
      </c>
      <c r="BA11" s="952">
        <v>12</v>
      </c>
      <c r="BB11" s="940">
        <f>(AU11*AW11+AV11*AX11)*AY11*AZ11*BA11</f>
        <v>87.53346</v>
      </c>
      <c r="BC11" s="954">
        <v>87.5</v>
      </c>
      <c r="BD11" s="963" t="str">
        <f>K11</f>
        <v>Омсукчанский городской округ</v>
      </c>
      <c r="BE11" s="964"/>
      <c r="BF11" s="965">
        <v>0</v>
      </c>
      <c r="BG11" s="965">
        <v>0</v>
      </c>
      <c r="BH11" s="965">
        <v>0</v>
      </c>
      <c r="BI11" s="965">
        <v>0</v>
      </c>
      <c r="BJ11" s="965">
        <v>0</v>
      </c>
      <c r="BK11" s="966">
        <v>0</v>
      </c>
      <c r="BL11" s="967">
        <v>0</v>
      </c>
      <c r="BM11" s="965">
        <v>0</v>
      </c>
      <c r="BN11" s="946">
        <f>(BE11*BH11+BF11*BI11+BG11*BJ11)*BK11*BL11*BM11</f>
        <v>0</v>
      </c>
      <c r="BO11" s="966">
        <v>0</v>
      </c>
      <c r="BP11" s="947">
        <f>BO11+BC11+AL11+AD11+V11+J11+D11</f>
        <v>1584.30062</v>
      </c>
      <c r="BQ11" s="968">
        <v>1584.3</v>
      </c>
      <c r="BR11" s="969">
        <v>1584.3</v>
      </c>
      <c r="BT11" s="950"/>
    </row>
    <row r="12" spans="1:72" s="354" customFormat="1" ht="35.25" customHeight="1">
      <c r="A12" s="951" t="s">
        <v>478</v>
      </c>
      <c r="B12" s="952">
        <v>1</v>
      </c>
      <c r="C12" s="953">
        <f>D12/B12</f>
        <v>36.58</v>
      </c>
      <c r="D12" s="954">
        <f>52.95-16.37</f>
        <v>36.58</v>
      </c>
      <c r="E12" s="952">
        <v>0</v>
      </c>
      <c r="F12" s="952">
        <v>0</v>
      </c>
      <c r="G12" s="952">
        <v>0</v>
      </c>
      <c r="H12" s="952">
        <v>0</v>
      </c>
      <c r="I12" s="926">
        <f>E12*F12*G12*H12</f>
        <v>0</v>
      </c>
      <c r="J12" s="970">
        <v>0</v>
      </c>
      <c r="K12" s="955" t="str">
        <f>A12</f>
        <v>Среднеканский городской  округ</v>
      </c>
      <c r="L12" s="956">
        <f>21</f>
        <v>21</v>
      </c>
      <c r="M12" s="957">
        <f>45-13</f>
        <v>32</v>
      </c>
      <c r="N12" s="957">
        <f>11-9</f>
        <v>2</v>
      </c>
      <c r="O12" s="930">
        <v>0.675</v>
      </c>
      <c r="P12" s="930">
        <v>0.419</v>
      </c>
      <c r="Q12" s="930">
        <v>0.209</v>
      </c>
      <c r="R12" s="958">
        <v>2.5</v>
      </c>
      <c r="S12" s="958">
        <v>1.302</v>
      </c>
      <c r="T12" s="959">
        <v>12</v>
      </c>
      <c r="U12" s="933">
        <f>(L12*O12+M12*P12+N12*Q12)*R12*S12*T12</f>
        <v>1093.71906</v>
      </c>
      <c r="V12" s="960">
        <f>(L12*O12*R12*S12*T12)+(M12*P12*R12*S12*T12)+(N12*Q12*R12*S12*T12)</f>
        <v>1093.7190600000001</v>
      </c>
      <c r="W12" s="955" t="str">
        <f>K12</f>
        <v>Среднеканский городской  округ</v>
      </c>
      <c r="X12" s="952">
        <v>3</v>
      </c>
      <c r="Y12" s="935">
        <v>0.9</v>
      </c>
      <c r="Z12" s="952">
        <v>2.5</v>
      </c>
      <c r="AA12" s="952">
        <v>1.302</v>
      </c>
      <c r="AB12" s="952">
        <v>12</v>
      </c>
      <c r="AC12" s="936">
        <f>X12*Y12*Z12*AA12*AB12</f>
        <v>105.46200000000002</v>
      </c>
      <c r="AD12" s="954">
        <v>105.5</v>
      </c>
      <c r="AE12" s="955" t="str">
        <f>K12</f>
        <v>Среднеканский городской  округ</v>
      </c>
      <c r="AF12" s="961" t="s">
        <v>419</v>
      </c>
      <c r="AG12" s="962" t="s">
        <v>419</v>
      </c>
      <c r="AH12" s="962" t="s">
        <v>419</v>
      </c>
      <c r="AI12" s="961" t="s">
        <v>419</v>
      </c>
      <c r="AJ12" s="952">
        <v>0</v>
      </c>
      <c r="AK12" s="939">
        <f>AF12*AG12*AH12*AI12*AJ12</f>
        <v>0</v>
      </c>
      <c r="AL12" s="925">
        <v>0</v>
      </c>
      <c r="AM12" s="955" t="s">
        <v>3</v>
      </c>
      <c r="AN12" s="961"/>
      <c r="AO12" s="962"/>
      <c r="AP12" s="962"/>
      <c r="AQ12" s="961"/>
      <c r="AR12" s="952"/>
      <c r="AS12" s="925"/>
      <c r="AT12" s="955" t="str">
        <f>K12</f>
        <v>Среднеканский городской  округ</v>
      </c>
      <c r="AU12" s="952">
        <v>2</v>
      </c>
      <c r="AV12" s="952">
        <v>0</v>
      </c>
      <c r="AW12" s="923">
        <v>0.747</v>
      </c>
      <c r="AX12" s="923">
        <v>1.047</v>
      </c>
      <c r="AY12" s="923">
        <v>2.5</v>
      </c>
      <c r="AZ12" s="952">
        <v>1.302</v>
      </c>
      <c r="BA12" s="952">
        <v>12</v>
      </c>
      <c r="BB12" s="940">
        <f>(AU12*AW12+AV12*AX12)*AY12*AZ12*BA12</f>
        <v>58.355639999999994</v>
      </c>
      <c r="BC12" s="954">
        <v>58.4</v>
      </c>
      <c r="BD12" s="963" t="str">
        <f>K12</f>
        <v>Среднеканский городской  округ</v>
      </c>
      <c r="BE12" s="964"/>
      <c r="BF12" s="965">
        <v>0</v>
      </c>
      <c r="BG12" s="965">
        <v>0</v>
      </c>
      <c r="BH12" s="967">
        <v>0.436</v>
      </c>
      <c r="BI12" s="965">
        <v>0</v>
      </c>
      <c r="BJ12" s="965">
        <v>0</v>
      </c>
      <c r="BK12" s="966">
        <v>2.5</v>
      </c>
      <c r="BL12" s="967">
        <v>1.302</v>
      </c>
      <c r="BM12" s="965">
        <v>12</v>
      </c>
      <c r="BN12" s="946">
        <f>(BE12*BH12+BF12*BI12+BG12*BJ12)*BK12*BL12*BM12</f>
        <v>0</v>
      </c>
      <c r="BO12" s="966">
        <v>0</v>
      </c>
      <c r="BP12" s="947">
        <f>BO12+BC12+AL12+AD12+V12+J12+D12</f>
        <v>1294.1990600000001</v>
      </c>
      <c r="BQ12" s="968">
        <v>1294.2</v>
      </c>
      <c r="BR12" s="969">
        <v>1294.2</v>
      </c>
      <c r="BT12" s="950"/>
    </row>
    <row r="13" spans="1:72" s="354" customFormat="1" ht="15.75" customHeight="1">
      <c r="A13" s="922"/>
      <c r="B13" s="923"/>
      <c r="C13" s="924"/>
      <c r="D13" s="925"/>
      <c r="E13" s="923"/>
      <c r="F13" s="923"/>
      <c r="G13" s="923"/>
      <c r="H13" s="923"/>
      <c r="I13" s="926"/>
      <c r="J13" s="927"/>
      <c r="K13" s="922"/>
      <c r="L13" s="928"/>
      <c r="M13" s="929"/>
      <c r="N13" s="929"/>
      <c r="O13" s="930"/>
      <c r="P13" s="930"/>
      <c r="Q13" s="930"/>
      <c r="R13" s="931"/>
      <c r="S13" s="931"/>
      <c r="T13" s="932"/>
      <c r="U13" s="933"/>
      <c r="V13" s="934"/>
      <c r="W13" s="922"/>
      <c r="X13" s="923"/>
      <c r="Y13" s="935"/>
      <c r="Z13" s="923"/>
      <c r="AA13" s="923"/>
      <c r="AB13" s="923"/>
      <c r="AC13" s="936"/>
      <c r="AD13" s="925"/>
      <c r="AE13" s="922"/>
      <c r="AF13" s="937"/>
      <c r="AG13" s="938"/>
      <c r="AH13" s="938"/>
      <c r="AI13" s="937"/>
      <c r="AJ13" s="923"/>
      <c r="AK13" s="939"/>
      <c r="AL13" s="925"/>
      <c r="AM13" s="922"/>
      <c r="AN13" s="937"/>
      <c r="AO13" s="938"/>
      <c r="AP13" s="938"/>
      <c r="AQ13" s="937"/>
      <c r="AR13" s="923"/>
      <c r="AS13" s="925"/>
      <c r="AT13" s="922"/>
      <c r="AU13" s="923"/>
      <c r="AV13" s="923"/>
      <c r="AW13" s="923"/>
      <c r="AX13" s="923"/>
      <c r="AY13" s="923"/>
      <c r="AZ13" s="923"/>
      <c r="BA13" s="923"/>
      <c r="BB13" s="940"/>
      <c r="BC13" s="925"/>
      <c r="BD13" s="971"/>
      <c r="BE13" s="942"/>
      <c r="BF13" s="943"/>
      <c r="BG13" s="943"/>
      <c r="BH13" s="943"/>
      <c r="BI13" s="944"/>
      <c r="BJ13" s="943"/>
      <c r="BK13" s="945"/>
      <c r="BL13" s="944"/>
      <c r="BM13" s="943"/>
      <c r="BN13" s="946"/>
      <c r="BO13" s="945"/>
      <c r="BP13" s="947"/>
      <c r="BQ13" s="972"/>
      <c r="BR13" s="973"/>
      <c r="BT13" s="950"/>
    </row>
    <row r="14" spans="1:72" s="354" customFormat="1" ht="15.75" customHeight="1">
      <c r="A14" s="955" t="s">
        <v>0</v>
      </c>
      <c r="B14" s="952">
        <v>2</v>
      </c>
      <c r="C14" s="953">
        <f t="shared" si="0"/>
        <v>35.665</v>
      </c>
      <c r="D14" s="954">
        <v>71.33</v>
      </c>
      <c r="E14" s="952">
        <v>1</v>
      </c>
      <c r="F14" s="952">
        <v>11.944</v>
      </c>
      <c r="G14" s="952">
        <v>2.5</v>
      </c>
      <c r="H14" s="952">
        <v>1.302</v>
      </c>
      <c r="I14" s="926">
        <f aca="true" t="shared" si="1" ref="I14:I19">E14*F14*G14*H14</f>
        <v>38.877720000000004</v>
      </c>
      <c r="J14" s="927">
        <f>H14*G14*F14*E14</f>
        <v>38.877720000000004</v>
      </c>
      <c r="K14" s="955" t="s">
        <v>0</v>
      </c>
      <c r="L14" s="974">
        <f>63-10-9</f>
        <v>44</v>
      </c>
      <c r="M14" s="975">
        <f>88-34</f>
        <v>54</v>
      </c>
      <c r="N14" s="975">
        <f>13-4</f>
        <v>9</v>
      </c>
      <c r="O14" s="930">
        <v>0.675</v>
      </c>
      <c r="P14" s="930">
        <v>0.419</v>
      </c>
      <c r="Q14" s="930">
        <v>0.209</v>
      </c>
      <c r="R14" s="958">
        <v>2.5</v>
      </c>
      <c r="S14" s="958">
        <v>1.302</v>
      </c>
      <c r="T14" s="959">
        <v>12</v>
      </c>
      <c r="U14" s="933">
        <f aca="true" t="shared" si="2" ref="U14:U19">(L14*O14+M14*P14+N14*Q14)*R14*S14*T14</f>
        <v>2117.32542</v>
      </c>
      <c r="V14" s="934">
        <f>(L14*O14*R14*S14*T14)+(M14*P14*R14*S14*T14)+(N14*Q14*R14*S14*T14)</f>
        <v>2117.32542</v>
      </c>
      <c r="W14" s="955" t="s">
        <v>0</v>
      </c>
      <c r="X14" s="952">
        <v>3</v>
      </c>
      <c r="Y14" s="935">
        <v>0.9</v>
      </c>
      <c r="Z14" s="952">
        <v>2.5</v>
      </c>
      <c r="AA14" s="952">
        <v>1.302</v>
      </c>
      <c r="AB14" s="952">
        <v>12</v>
      </c>
      <c r="AC14" s="936">
        <f aca="true" t="shared" si="3" ref="AC14:AC19">X14*Y14*Z14*AA14*AB14</f>
        <v>105.46200000000002</v>
      </c>
      <c r="AD14" s="954">
        <f>X14*Y14*Z14*AA14*AB14</f>
        <v>105.46200000000002</v>
      </c>
      <c r="AE14" s="955" t="s">
        <v>0</v>
      </c>
      <c r="AF14" s="961" t="s">
        <v>417</v>
      </c>
      <c r="AG14" s="962" t="s">
        <v>411</v>
      </c>
      <c r="AH14" s="962" t="s">
        <v>412</v>
      </c>
      <c r="AI14" s="961" t="s">
        <v>413</v>
      </c>
      <c r="AJ14" s="952">
        <v>12</v>
      </c>
      <c r="AK14" s="939">
        <f aca="true" t="shared" si="4" ref="AK14:AK19">AF14*AG14*AH14*AI14*AJ14</f>
        <v>23.318820000000002</v>
      </c>
      <c r="AL14" s="925">
        <v>23.3</v>
      </c>
      <c r="AM14" s="955" t="s">
        <v>0</v>
      </c>
      <c r="AN14" s="961"/>
      <c r="AO14" s="962"/>
      <c r="AP14" s="962"/>
      <c r="AQ14" s="961"/>
      <c r="AR14" s="952"/>
      <c r="AS14" s="925"/>
      <c r="AT14" s="955" t="s">
        <v>0</v>
      </c>
      <c r="AU14" s="952">
        <v>7</v>
      </c>
      <c r="AV14" s="952">
        <v>0</v>
      </c>
      <c r="AW14" s="952">
        <v>0.747</v>
      </c>
      <c r="AX14" s="952">
        <v>1.047</v>
      </c>
      <c r="AY14" s="952">
        <v>2.5</v>
      </c>
      <c r="AZ14" s="952">
        <v>1.302</v>
      </c>
      <c r="BA14" s="952">
        <v>12</v>
      </c>
      <c r="BB14" s="940">
        <f aca="true" t="shared" si="5" ref="BB14:BB19">(AU14*AW14+AV14*AX14)*AY14*AZ14*BA14</f>
        <v>204.24474</v>
      </c>
      <c r="BC14" s="954">
        <v>204.2</v>
      </c>
      <c r="BD14" s="963" t="s">
        <v>0</v>
      </c>
      <c r="BE14" s="964"/>
      <c r="BF14" s="965">
        <v>5</v>
      </c>
      <c r="BG14" s="965">
        <v>0</v>
      </c>
      <c r="BH14" s="965">
        <v>0</v>
      </c>
      <c r="BI14" s="967">
        <v>0.507</v>
      </c>
      <c r="BJ14" s="965">
        <v>0</v>
      </c>
      <c r="BK14" s="966">
        <v>2.5</v>
      </c>
      <c r="BL14" s="967">
        <v>1.302</v>
      </c>
      <c r="BM14" s="965">
        <v>12</v>
      </c>
      <c r="BN14" s="946">
        <f aca="true" t="shared" si="6" ref="BN14:BN19">(BE14*BH14+BF14*BI14+BG14*BJ14)*BK14*BL14*BM14</f>
        <v>99.01710000000001</v>
      </c>
      <c r="BO14" s="966">
        <v>99</v>
      </c>
      <c r="BP14" s="947">
        <f aca="true" t="shared" si="7" ref="BP14:BP19">BO14+BC14+AL14+AD14+V14+J14+D14</f>
        <v>2659.49514</v>
      </c>
      <c r="BQ14" s="968">
        <v>2659.5</v>
      </c>
      <c r="BR14" s="969">
        <v>2659.5</v>
      </c>
      <c r="BT14" s="950"/>
    </row>
    <row r="15" spans="1:72" s="354" customFormat="1" ht="15.75" customHeight="1">
      <c r="A15" s="955" t="s">
        <v>1</v>
      </c>
      <c r="B15" s="956">
        <v>1</v>
      </c>
      <c r="C15" s="953">
        <v>28.97</v>
      </c>
      <c r="D15" s="954">
        <v>28.97</v>
      </c>
      <c r="E15" s="952">
        <v>0</v>
      </c>
      <c r="F15" s="952">
        <v>0</v>
      </c>
      <c r="G15" s="952">
        <v>0</v>
      </c>
      <c r="H15" s="952">
        <v>0</v>
      </c>
      <c r="I15" s="926">
        <f t="shared" si="1"/>
        <v>0</v>
      </c>
      <c r="J15" s="970">
        <v>0</v>
      </c>
      <c r="K15" s="955" t="s">
        <v>1</v>
      </c>
      <c r="L15" s="956">
        <f>25-16</f>
        <v>9</v>
      </c>
      <c r="M15" s="957">
        <f>26-15-2</f>
        <v>9</v>
      </c>
      <c r="N15" s="957">
        <f>8-5</f>
        <v>3</v>
      </c>
      <c r="O15" s="930">
        <v>0.675</v>
      </c>
      <c r="P15" s="930">
        <v>0.419</v>
      </c>
      <c r="Q15" s="930">
        <v>0.209</v>
      </c>
      <c r="R15" s="958">
        <v>2.7</v>
      </c>
      <c r="S15" s="958">
        <v>1.302</v>
      </c>
      <c r="T15" s="932">
        <v>12</v>
      </c>
      <c r="U15" s="933">
        <f t="shared" si="2"/>
        <v>441.8014104000001</v>
      </c>
      <c r="V15" s="960">
        <f>(L15*O15*R15*S15*T15)+(M15*P15*R15*S15*T15)+(N15*Q15*R15*S15*T15)+0.06</f>
        <v>441.86141040000007</v>
      </c>
      <c r="W15" s="955" t="s">
        <v>1</v>
      </c>
      <c r="X15" s="952">
        <v>0</v>
      </c>
      <c r="Y15" s="935">
        <v>0</v>
      </c>
      <c r="Z15" s="952">
        <v>0</v>
      </c>
      <c r="AA15" s="952">
        <v>0</v>
      </c>
      <c r="AB15" s="923">
        <v>0</v>
      </c>
      <c r="AC15" s="936">
        <f t="shared" si="3"/>
        <v>0</v>
      </c>
      <c r="AD15" s="954">
        <v>0</v>
      </c>
      <c r="AE15" s="955" t="s">
        <v>1</v>
      </c>
      <c r="AF15" s="961" t="s">
        <v>419</v>
      </c>
      <c r="AG15" s="962" t="s">
        <v>419</v>
      </c>
      <c r="AH15" s="962" t="s">
        <v>419</v>
      </c>
      <c r="AI15" s="961" t="s">
        <v>419</v>
      </c>
      <c r="AJ15" s="923">
        <v>0</v>
      </c>
      <c r="AK15" s="939">
        <f t="shared" si="4"/>
        <v>0</v>
      </c>
      <c r="AL15" s="925">
        <v>0</v>
      </c>
      <c r="AM15" s="955" t="s">
        <v>1</v>
      </c>
      <c r="AN15" s="961" t="s">
        <v>418</v>
      </c>
      <c r="AO15" s="962" t="s">
        <v>415</v>
      </c>
      <c r="AP15" s="962" t="s">
        <v>420</v>
      </c>
      <c r="AQ15" s="961" t="s">
        <v>416</v>
      </c>
      <c r="AR15" s="923">
        <v>12</v>
      </c>
      <c r="AS15" s="925">
        <f>AN15*AO15*AP15*AQ15*AR15</f>
        <v>39.002277600000006</v>
      </c>
      <c r="AT15" s="955" t="s">
        <v>1</v>
      </c>
      <c r="AU15" s="952">
        <v>1</v>
      </c>
      <c r="AV15" s="952">
        <v>1</v>
      </c>
      <c r="AW15" s="952">
        <v>0.747</v>
      </c>
      <c r="AX15" s="952">
        <v>1.047</v>
      </c>
      <c r="AY15" s="952">
        <v>2.7</v>
      </c>
      <c r="AZ15" s="952">
        <v>1.302</v>
      </c>
      <c r="BA15" s="952">
        <v>12</v>
      </c>
      <c r="BB15" s="940">
        <f t="shared" si="5"/>
        <v>75.67953120000001</v>
      </c>
      <c r="BC15" s="954">
        <f>(AU15*AW15*AY15*AZ15*BA15)+(AV15*AX15*AY15*AZ15*BA15)</f>
        <v>75.67953120000001</v>
      </c>
      <c r="BD15" s="963" t="s">
        <v>1</v>
      </c>
      <c r="BE15" s="976"/>
      <c r="BF15" s="977">
        <v>2</v>
      </c>
      <c r="BG15" s="977">
        <v>1</v>
      </c>
      <c r="BH15" s="977">
        <v>0</v>
      </c>
      <c r="BI15" s="967">
        <v>0.507</v>
      </c>
      <c r="BJ15" s="978">
        <v>0.747</v>
      </c>
      <c r="BK15" s="807">
        <v>2.7</v>
      </c>
      <c r="BL15" s="967">
        <v>1.302</v>
      </c>
      <c r="BM15" s="977">
        <v>12</v>
      </c>
      <c r="BN15" s="946">
        <f t="shared" si="6"/>
        <v>74.2874328</v>
      </c>
      <c r="BO15" s="979">
        <f>(BF15*BI15*BK15*BL15*BM15)+(BG15*BJ15*BK15*BL15*BM15)</f>
        <v>74.2874328</v>
      </c>
      <c r="BP15" s="947">
        <f t="shared" si="7"/>
        <v>620.7983744000001</v>
      </c>
      <c r="BQ15" s="968">
        <v>620.8</v>
      </c>
      <c r="BR15" s="969">
        <v>620.8</v>
      </c>
      <c r="BT15" s="950"/>
    </row>
    <row r="16" spans="1:72" s="354" customFormat="1" ht="15.75" customHeight="1">
      <c r="A16" s="955" t="s">
        <v>36</v>
      </c>
      <c r="B16" s="952">
        <v>4</v>
      </c>
      <c r="C16" s="953">
        <f t="shared" si="0"/>
        <v>32.9525</v>
      </c>
      <c r="D16" s="954">
        <v>131.81</v>
      </c>
      <c r="E16" s="952">
        <v>1</v>
      </c>
      <c r="F16" s="952">
        <v>11.944</v>
      </c>
      <c r="G16" s="952">
        <v>2.5</v>
      </c>
      <c r="H16" s="952">
        <v>1.302</v>
      </c>
      <c r="I16" s="926">
        <f t="shared" si="1"/>
        <v>38.877720000000004</v>
      </c>
      <c r="J16" s="970">
        <f>E16*F16*G16*H16</f>
        <v>38.877720000000004</v>
      </c>
      <c r="K16" s="955" t="s">
        <v>36</v>
      </c>
      <c r="L16" s="956">
        <f>29-8</f>
        <v>21</v>
      </c>
      <c r="M16" s="957">
        <f>65-36+4</f>
        <v>33</v>
      </c>
      <c r="N16" s="957">
        <f>21-9-2</f>
        <v>10</v>
      </c>
      <c r="O16" s="930">
        <v>0.675</v>
      </c>
      <c r="P16" s="930">
        <v>0.419</v>
      </c>
      <c r="Q16" s="930">
        <v>0.209</v>
      </c>
      <c r="R16" s="958">
        <v>2.5</v>
      </c>
      <c r="S16" s="958">
        <v>1.302</v>
      </c>
      <c r="T16" s="959">
        <v>12</v>
      </c>
      <c r="U16" s="933">
        <f t="shared" si="2"/>
        <v>1175.39352</v>
      </c>
      <c r="V16" s="960">
        <f>(L16*O16*R16*S16*T16)+(M16*P16*R16*S16*T16)+(N16*Q16*R16*S16*T16)</f>
        <v>1175.39352</v>
      </c>
      <c r="W16" s="955" t="s">
        <v>36</v>
      </c>
      <c r="X16" s="952">
        <v>4</v>
      </c>
      <c r="Y16" s="935">
        <v>0.9</v>
      </c>
      <c r="Z16" s="952">
        <v>2.5</v>
      </c>
      <c r="AA16" s="952">
        <v>1.302</v>
      </c>
      <c r="AB16" s="952">
        <v>12</v>
      </c>
      <c r="AC16" s="936">
        <f t="shared" si="3"/>
        <v>140.61599999999999</v>
      </c>
      <c r="AD16" s="954">
        <f>X16*Y16*Z16*AA16*AB16</f>
        <v>140.61599999999999</v>
      </c>
      <c r="AE16" s="955" t="s">
        <v>36</v>
      </c>
      <c r="AF16" s="961" t="s">
        <v>421</v>
      </c>
      <c r="AG16" s="962" t="s">
        <v>411</v>
      </c>
      <c r="AH16" s="962" t="s">
        <v>412</v>
      </c>
      <c r="AI16" s="961" t="s">
        <v>413</v>
      </c>
      <c r="AJ16" s="952">
        <v>12</v>
      </c>
      <c r="AK16" s="939">
        <f t="shared" si="4"/>
        <v>46.637640000000005</v>
      </c>
      <c r="AL16" s="925">
        <v>46.6</v>
      </c>
      <c r="AM16" s="955" t="s">
        <v>36</v>
      </c>
      <c r="AN16" s="961" t="s">
        <v>417</v>
      </c>
      <c r="AO16" s="962" t="s">
        <v>415</v>
      </c>
      <c r="AP16" s="962" t="s">
        <v>412</v>
      </c>
      <c r="AQ16" s="961" t="s">
        <v>416</v>
      </c>
      <c r="AR16" s="952">
        <v>12</v>
      </c>
      <c r="AS16" s="925">
        <f>AN16*AO16*AP16*AQ16*AR16</f>
        <v>12.03774</v>
      </c>
      <c r="AT16" s="955" t="s">
        <v>36</v>
      </c>
      <c r="AU16" s="952">
        <v>5</v>
      </c>
      <c r="AV16" s="952">
        <v>0</v>
      </c>
      <c r="AW16" s="952">
        <v>0.747</v>
      </c>
      <c r="AX16" s="952">
        <v>1.047</v>
      </c>
      <c r="AY16" s="952">
        <v>2.5</v>
      </c>
      <c r="AZ16" s="952">
        <v>1.302</v>
      </c>
      <c r="BA16" s="952">
        <v>12</v>
      </c>
      <c r="BB16" s="940">
        <f t="shared" si="5"/>
        <v>145.8891</v>
      </c>
      <c r="BC16" s="954">
        <v>145.9</v>
      </c>
      <c r="BD16" s="963" t="s">
        <v>36</v>
      </c>
      <c r="BE16" s="964"/>
      <c r="BF16" s="965">
        <v>1</v>
      </c>
      <c r="BG16" s="965">
        <v>0</v>
      </c>
      <c r="BH16" s="965">
        <v>0</v>
      </c>
      <c r="BI16" s="967">
        <v>0.507</v>
      </c>
      <c r="BJ16" s="965">
        <v>0</v>
      </c>
      <c r="BK16" s="966">
        <v>2.5</v>
      </c>
      <c r="BL16" s="967">
        <v>1.302</v>
      </c>
      <c r="BM16" s="965">
        <v>12</v>
      </c>
      <c r="BN16" s="946">
        <f t="shared" si="6"/>
        <v>19.803420000000003</v>
      </c>
      <c r="BO16" s="966">
        <v>19.8</v>
      </c>
      <c r="BP16" s="947">
        <f t="shared" si="7"/>
        <v>1698.99724</v>
      </c>
      <c r="BQ16" s="968">
        <v>1699</v>
      </c>
      <c r="BR16" s="969">
        <v>1699</v>
      </c>
      <c r="BT16" s="950"/>
    </row>
    <row r="17" spans="1:72" s="354" customFormat="1" ht="15.75" customHeight="1">
      <c r="A17" s="955" t="s">
        <v>31</v>
      </c>
      <c r="B17" s="952">
        <v>3</v>
      </c>
      <c r="C17" s="953">
        <f t="shared" si="0"/>
        <v>27.506666666666664</v>
      </c>
      <c r="D17" s="954">
        <v>82.52</v>
      </c>
      <c r="E17" s="952">
        <v>3</v>
      </c>
      <c r="F17" s="952">
        <v>11.944</v>
      </c>
      <c r="G17" s="952">
        <v>2.7</v>
      </c>
      <c r="H17" s="952">
        <v>1.302</v>
      </c>
      <c r="I17" s="926">
        <f t="shared" si="1"/>
        <v>125.96381280000001</v>
      </c>
      <c r="J17" s="970">
        <f>E17*F17*G17*H17</f>
        <v>125.96381280000001</v>
      </c>
      <c r="K17" s="955" t="s">
        <v>31</v>
      </c>
      <c r="L17" s="956">
        <f>22-6-1</f>
        <v>15</v>
      </c>
      <c r="M17" s="957">
        <f>32-13</f>
        <v>19</v>
      </c>
      <c r="N17" s="957">
        <f>12-8</f>
        <v>4</v>
      </c>
      <c r="O17" s="930">
        <v>0.675</v>
      </c>
      <c r="P17" s="930">
        <v>0.419</v>
      </c>
      <c r="Q17" s="930">
        <v>0.209</v>
      </c>
      <c r="R17" s="958">
        <v>2.7</v>
      </c>
      <c r="S17" s="958">
        <v>1.302</v>
      </c>
      <c r="T17" s="932">
        <v>12</v>
      </c>
      <c r="U17" s="933">
        <f t="shared" si="2"/>
        <v>798.2207856</v>
      </c>
      <c r="V17" s="960">
        <f>(L17*O17*R17*S17*T17)+(M17*P17*R17*S17*T17)+(N17*Q17*R17*S17*T17)</f>
        <v>798.2207856000001</v>
      </c>
      <c r="W17" s="955" t="s">
        <v>31</v>
      </c>
      <c r="X17" s="952">
        <v>1</v>
      </c>
      <c r="Y17" s="935">
        <v>0.9</v>
      </c>
      <c r="Z17" s="952">
        <v>2.5</v>
      </c>
      <c r="AA17" s="952">
        <v>1.302</v>
      </c>
      <c r="AB17" s="952">
        <v>12</v>
      </c>
      <c r="AC17" s="936">
        <f t="shared" si="3"/>
        <v>35.153999999999996</v>
      </c>
      <c r="AD17" s="954">
        <v>35.2</v>
      </c>
      <c r="AE17" s="955" t="s">
        <v>31</v>
      </c>
      <c r="AF17" s="961" t="s">
        <v>421</v>
      </c>
      <c r="AG17" s="962" t="s">
        <v>411</v>
      </c>
      <c r="AH17" s="962" t="s">
        <v>412</v>
      </c>
      <c r="AI17" s="961" t="s">
        <v>413</v>
      </c>
      <c r="AJ17" s="923">
        <v>12</v>
      </c>
      <c r="AK17" s="939">
        <f t="shared" si="4"/>
        <v>46.637640000000005</v>
      </c>
      <c r="AL17" s="925">
        <v>46.6</v>
      </c>
      <c r="AM17" s="955" t="s">
        <v>31</v>
      </c>
      <c r="AN17" s="961" t="s">
        <v>417</v>
      </c>
      <c r="AO17" s="962" t="s">
        <v>415</v>
      </c>
      <c r="AP17" s="962" t="s">
        <v>412</v>
      </c>
      <c r="AQ17" s="961" t="s">
        <v>416</v>
      </c>
      <c r="AR17" s="923">
        <v>12</v>
      </c>
      <c r="AS17" s="925">
        <f>AN17*AO17*AP17*AQ17*AR17</f>
        <v>12.03774</v>
      </c>
      <c r="AT17" s="955" t="s">
        <v>31</v>
      </c>
      <c r="AU17" s="952">
        <v>2</v>
      </c>
      <c r="AV17" s="952">
        <v>0</v>
      </c>
      <c r="AW17" s="923">
        <v>0.747</v>
      </c>
      <c r="AX17" s="923">
        <v>1.047</v>
      </c>
      <c r="AY17" s="923">
        <v>2.5</v>
      </c>
      <c r="AZ17" s="952">
        <v>1.302</v>
      </c>
      <c r="BA17" s="952">
        <v>12</v>
      </c>
      <c r="BB17" s="940">
        <f t="shared" si="5"/>
        <v>58.355639999999994</v>
      </c>
      <c r="BC17" s="954">
        <v>58.4</v>
      </c>
      <c r="BD17" s="963" t="s">
        <v>31</v>
      </c>
      <c r="BE17" s="964"/>
      <c r="BF17" s="965">
        <v>0</v>
      </c>
      <c r="BG17" s="965">
        <v>0</v>
      </c>
      <c r="BH17" s="965">
        <v>0</v>
      </c>
      <c r="BI17" s="967">
        <v>0.507</v>
      </c>
      <c r="BJ17" s="965">
        <v>0</v>
      </c>
      <c r="BK17" s="966">
        <v>2.5</v>
      </c>
      <c r="BL17" s="967">
        <v>1.302</v>
      </c>
      <c r="BM17" s="965">
        <v>12</v>
      </c>
      <c r="BN17" s="946">
        <f t="shared" si="6"/>
        <v>0</v>
      </c>
      <c r="BO17" s="966">
        <v>0</v>
      </c>
      <c r="BP17" s="947">
        <f t="shared" si="7"/>
        <v>1146.9045984</v>
      </c>
      <c r="BQ17" s="968">
        <v>1146.9</v>
      </c>
      <c r="BR17" s="969">
        <v>1146.9</v>
      </c>
      <c r="BT17" s="950"/>
    </row>
    <row r="18" spans="1:72" s="354" customFormat="1" ht="15.75" customHeight="1">
      <c r="A18" s="955" t="s">
        <v>32</v>
      </c>
      <c r="B18" s="952">
        <v>7</v>
      </c>
      <c r="C18" s="953">
        <f t="shared" si="0"/>
        <v>35.55</v>
      </c>
      <c r="D18" s="954">
        <v>248.85</v>
      </c>
      <c r="E18" s="952">
        <v>2</v>
      </c>
      <c r="F18" s="952">
        <v>11.944</v>
      </c>
      <c r="G18" s="952">
        <v>2.5</v>
      </c>
      <c r="H18" s="952">
        <v>1.302</v>
      </c>
      <c r="I18" s="926">
        <f t="shared" si="1"/>
        <v>77.75544000000001</v>
      </c>
      <c r="J18" s="970">
        <f>E18*F18*G18*H18</f>
        <v>77.75544000000001</v>
      </c>
      <c r="K18" s="955" t="s">
        <v>32</v>
      </c>
      <c r="L18" s="956">
        <f>41-15</f>
        <v>26</v>
      </c>
      <c r="M18" s="957">
        <f>68-20</f>
        <v>48</v>
      </c>
      <c r="N18" s="957">
        <f>18-6</f>
        <v>12</v>
      </c>
      <c r="O18" s="930">
        <v>0.675</v>
      </c>
      <c r="P18" s="930">
        <v>0.419</v>
      </c>
      <c r="Q18" s="930">
        <v>0.209</v>
      </c>
      <c r="R18" s="958">
        <v>2.5</v>
      </c>
      <c r="S18" s="958">
        <v>1.302</v>
      </c>
      <c r="T18" s="959">
        <v>12</v>
      </c>
      <c r="U18" s="933">
        <f t="shared" si="2"/>
        <v>1569.0402000000001</v>
      </c>
      <c r="V18" s="960">
        <f>(L18*O18*R18*S18*T18)+(M18*P18*R18*S18*T18)+(N18*Q18*R18*S18*T18)+1.17</f>
        <v>1570.2101999999998</v>
      </c>
      <c r="W18" s="955" t="s">
        <v>32</v>
      </c>
      <c r="X18" s="952">
        <v>4</v>
      </c>
      <c r="Y18" s="935">
        <v>0.9</v>
      </c>
      <c r="Z18" s="952">
        <v>2.5</v>
      </c>
      <c r="AA18" s="952">
        <v>1.302</v>
      </c>
      <c r="AB18" s="952">
        <v>12</v>
      </c>
      <c r="AC18" s="936">
        <f t="shared" si="3"/>
        <v>140.61599999999999</v>
      </c>
      <c r="AD18" s="954">
        <v>140.6</v>
      </c>
      <c r="AE18" s="955" t="s">
        <v>32</v>
      </c>
      <c r="AF18" s="961" t="s">
        <v>418</v>
      </c>
      <c r="AG18" s="962" t="s">
        <v>411</v>
      </c>
      <c r="AH18" s="962" t="s">
        <v>412</v>
      </c>
      <c r="AI18" s="961" t="s">
        <v>413</v>
      </c>
      <c r="AJ18" s="952">
        <v>12</v>
      </c>
      <c r="AK18" s="939">
        <f t="shared" si="4"/>
        <v>69.95646</v>
      </c>
      <c r="AL18" s="925">
        <v>70</v>
      </c>
      <c r="AM18" s="955" t="s">
        <v>32</v>
      </c>
      <c r="AN18" s="961" t="s">
        <v>422</v>
      </c>
      <c r="AO18" s="962" t="s">
        <v>415</v>
      </c>
      <c r="AP18" s="962" t="s">
        <v>412</v>
      </c>
      <c r="AQ18" s="961" t="s">
        <v>416</v>
      </c>
      <c r="AR18" s="952">
        <v>12</v>
      </c>
      <c r="AS18" s="925">
        <f>AN18*AO18*AP18*AQ18*AR18</f>
        <v>60.1887</v>
      </c>
      <c r="AT18" s="955" t="s">
        <v>32</v>
      </c>
      <c r="AU18" s="952">
        <v>5</v>
      </c>
      <c r="AV18" s="952">
        <v>0</v>
      </c>
      <c r="AW18" s="952">
        <v>0.747</v>
      </c>
      <c r="AX18" s="952">
        <v>1.047</v>
      </c>
      <c r="AY18" s="952">
        <v>2.5</v>
      </c>
      <c r="AZ18" s="952">
        <v>1.302</v>
      </c>
      <c r="BA18" s="952">
        <v>12</v>
      </c>
      <c r="BB18" s="940">
        <f t="shared" si="5"/>
        <v>145.8891</v>
      </c>
      <c r="BC18" s="954">
        <f>(AU18*AW18*AY18*AZ18*BA18)+(AV18*AX18*AY18*AZ18*BA18)</f>
        <v>145.8891</v>
      </c>
      <c r="BD18" s="963" t="s">
        <v>32</v>
      </c>
      <c r="BE18" s="964"/>
      <c r="BF18" s="965">
        <v>1</v>
      </c>
      <c r="BG18" s="965">
        <v>0</v>
      </c>
      <c r="BH18" s="965">
        <v>0</v>
      </c>
      <c r="BI18" s="967">
        <v>0.507</v>
      </c>
      <c r="BJ18" s="965">
        <v>0</v>
      </c>
      <c r="BK18" s="966">
        <v>2.5</v>
      </c>
      <c r="BL18" s="967">
        <v>1.302</v>
      </c>
      <c r="BM18" s="965">
        <v>12</v>
      </c>
      <c r="BN18" s="946">
        <f t="shared" si="6"/>
        <v>19.803420000000003</v>
      </c>
      <c r="BO18" s="966">
        <v>19.8</v>
      </c>
      <c r="BP18" s="947">
        <f t="shared" si="7"/>
        <v>2273.1047399999998</v>
      </c>
      <c r="BQ18" s="968">
        <v>2273.1</v>
      </c>
      <c r="BR18" s="969">
        <v>2273.1</v>
      </c>
      <c r="BT18" s="950"/>
    </row>
    <row r="19" spans="1:72" s="354" customFormat="1" ht="15.75" customHeight="1" thickBot="1">
      <c r="A19" s="980" t="s">
        <v>33</v>
      </c>
      <c r="B19" s="981">
        <v>4</v>
      </c>
      <c r="C19" s="982">
        <f t="shared" si="0"/>
        <v>34.87</v>
      </c>
      <c r="D19" s="983">
        <f>116.56-17.9+32.66+8.16</f>
        <v>139.48</v>
      </c>
      <c r="E19" s="981">
        <v>4</v>
      </c>
      <c r="F19" s="981">
        <v>11.944</v>
      </c>
      <c r="G19" s="981">
        <v>2.5</v>
      </c>
      <c r="H19" s="952">
        <v>1.302</v>
      </c>
      <c r="I19" s="926">
        <f t="shared" si="1"/>
        <v>155.51088000000001</v>
      </c>
      <c r="J19" s="970">
        <f>E19*F19*G19*H19</f>
        <v>155.51088000000001</v>
      </c>
      <c r="K19" s="980" t="s">
        <v>33</v>
      </c>
      <c r="L19" s="984">
        <f>43+15-18</f>
        <v>40</v>
      </c>
      <c r="M19" s="985">
        <f>76+10-32</f>
        <v>54</v>
      </c>
      <c r="N19" s="985">
        <f>33-17</f>
        <v>16</v>
      </c>
      <c r="O19" s="930">
        <v>0.675</v>
      </c>
      <c r="P19" s="930">
        <v>0.419</v>
      </c>
      <c r="Q19" s="930">
        <v>0.209</v>
      </c>
      <c r="R19" s="986">
        <v>2.5</v>
      </c>
      <c r="S19" s="958">
        <v>1.302</v>
      </c>
      <c r="T19" s="987">
        <v>12</v>
      </c>
      <c r="U19" s="933">
        <f t="shared" si="2"/>
        <v>2069.0082</v>
      </c>
      <c r="V19" s="960">
        <f>(L19*O19*R19*S19*T19)+(M19*P19*R19*S19*T19)+(N19*Q19*R19*S19*T19)</f>
        <v>2069.0082</v>
      </c>
      <c r="W19" s="980" t="s">
        <v>33</v>
      </c>
      <c r="X19" s="981">
        <v>6</v>
      </c>
      <c r="Y19" s="935">
        <v>0.9</v>
      </c>
      <c r="Z19" s="981">
        <v>2.5</v>
      </c>
      <c r="AA19" s="952">
        <v>1.302</v>
      </c>
      <c r="AB19" s="981">
        <v>12</v>
      </c>
      <c r="AC19" s="936">
        <f t="shared" si="3"/>
        <v>210.92400000000004</v>
      </c>
      <c r="AD19" s="983">
        <v>210.9</v>
      </c>
      <c r="AE19" s="980" t="s">
        <v>33</v>
      </c>
      <c r="AF19" s="988" t="s">
        <v>418</v>
      </c>
      <c r="AG19" s="989" t="s">
        <v>411</v>
      </c>
      <c r="AH19" s="989" t="s">
        <v>412</v>
      </c>
      <c r="AI19" s="988" t="s">
        <v>413</v>
      </c>
      <c r="AJ19" s="981">
        <v>12</v>
      </c>
      <c r="AK19" s="939">
        <f t="shared" si="4"/>
        <v>69.95646</v>
      </c>
      <c r="AL19" s="925">
        <v>70</v>
      </c>
      <c r="AM19" s="980" t="s">
        <v>33</v>
      </c>
      <c r="AN19" s="988" t="s">
        <v>417</v>
      </c>
      <c r="AO19" s="989" t="s">
        <v>415</v>
      </c>
      <c r="AP19" s="989" t="s">
        <v>412</v>
      </c>
      <c r="AQ19" s="988" t="s">
        <v>416</v>
      </c>
      <c r="AR19" s="981">
        <v>12</v>
      </c>
      <c r="AS19" s="925">
        <f>AN19*AO19*AP19*AQ19*AR19</f>
        <v>12.03774</v>
      </c>
      <c r="AT19" s="980" t="s">
        <v>33</v>
      </c>
      <c r="AU19" s="981">
        <v>5</v>
      </c>
      <c r="AV19" s="981">
        <v>1</v>
      </c>
      <c r="AW19" s="952">
        <v>0.747</v>
      </c>
      <c r="AX19" s="981">
        <v>1.047</v>
      </c>
      <c r="AY19" s="981">
        <v>2.5</v>
      </c>
      <c r="AZ19" s="952">
        <v>1.302</v>
      </c>
      <c r="BA19" s="981">
        <v>12</v>
      </c>
      <c r="BB19" s="940">
        <f t="shared" si="5"/>
        <v>186.78492</v>
      </c>
      <c r="BC19" s="983">
        <v>186.8</v>
      </c>
      <c r="BD19" s="990" t="s">
        <v>33</v>
      </c>
      <c r="BE19" s="991"/>
      <c r="BF19" s="992">
        <v>2</v>
      </c>
      <c r="BG19" s="992">
        <v>0</v>
      </c>
      <c r="BH19" s="993">
        <v>0.436</v>
      </c>
      <c r="BI19" s="967">
        <v>0.507</v>
      </c>
      <c r="BJ19" s="992">
        <v>0</v>
      </c>
      <c r="BK19" s="994">
        <v>2.5</v>
      </c>
      <c r="BL19" s="967">
        <v>1.302</v>
      </c>
      <c r="BM19" s="992">
        <v>12</v>
      </c>
      <c r="BN19" s="946">
        <f t="shared" si="6"/>
        <v>39.606840000000005</v>
      </c>
      <c r="BO19" s="994">
        <v>39.6</v>
      </c>
      <c r="BP19" s="947">
        <f t="shared" si="7"/>
        <v>2871.2990800000002</v>
      </c>
      <c r="BQ19" s="995">
        <v>2871.3</v>
      </c>
      <c r="BR19" s="996">
        <v>2871.3</v>
      </c>
      <c r="BT19" s="950"/>
    </row>
    <row r="20" spans="1:70" s="354" customFormat="1" ht="18.75" customHeight="1" thickBot="1">
      <c r="A20" s="997" t="s">
        <v>37</v>
      </c>
      <c r="B20" s="710">
        <f>SUM(B10:B19)</f>
        <v>70</v>
      </c>
      <c r="C20" s="710"/>
      <c r="D20" s="710">
        <f>SUM(D10:D19)</f>
        <v>2327.4</v>
      </c>
      <c r="E20" s="710">
        <f>SUM(E10:E19)</f>
        <v>27</v>
      </c>
      <c r="F20" s="710"/>
      <c r="G20" s="710"/>
      <c r="H20" s="710"/>
      <c r="I20" s="710"/>
      <c r="J20" s="998">
        <f>SUM(J10:J19)</f>
        <v>1059.0290928</v>
      </c>
      <c r="K20" s="997" t="s">
        <v>37</v>
      </c>
      <c r="L20" s="999">
        <f>SUM(L10:L19)</f>
        <v>821</v>
      </c>
      <c r="M20" s="999">
        <f>SUM(M10:M19)</f>
        <v>724</v>
      </c>
      <c r="N20" s="999">
        <f>SUM(N10:N19)</f>
        <v>130</v>
      </c>
      <c r="O20" s="1000"/>
      <c r="P20" s="1000"/>
      <c r="Q20" s="1000"/>
      <c r="R20" s="1000"/>
      <c r="S20" s="1000"/>
      <c r="T20" s="998">
        <f>L10*O10*R10*S10*T10</f>
        <v>16399.341</v>
      </c>
      <c r="U20" s="1001"/>
      <c r="V20" s="998">
        <f>SUM(V10:V19)</f>
        <v>34649.534556</v>
      </c>
      <c r="W20" s="997" t="s">
        <v>37</v>
      </c>
      <c r="X20" s="710">
        <f>SUM(X10:X19)</f>
        <v>44</v>
      </c>
      <c r="Y20" s="710"/>
      <c r="Z20" s="710"/>
      <c r="AA20" s="710"/>
      <c r="AB20" s="710"/>
      <c r="AC20" s="710"/>
      <c r="AD20" s="1002">
        <f>SUM(AD10:AD19)</f>
        <v>1546.778</v>
      </c>
      <c r="AE20" s="997" t="s">
        <v>37</v>
      </c>
      <c r="AF20" s="710" t="s">
        <v>423</v>
      </c>
      <c r="AG20" s="1003"/>
      <c r="AH20" s="1003"/>
      <c r="AI20" s="710"/>
      <c r="AJ20" s="710"/>
      <c r="AK20" s="710"/>
      <c r="AL20" s="1002">
        <f>SUM(AL10:AL19)</f>
        <v>676.3000000000001</v>
      </c>
      <c r="AM20" s="997" t="s">
        <v>37</v>
      </c>
      <c r="AN20" s="710" t="s">
        <v>423</v>
      </c>
      <c r="AO20" s="1003"/>
      <c r="AP20" s="1003"/>
      <c r="AQ20" s="710"/>
      <c r="AR20" s="710"/>
      <c r="AS20" s="1002">
        <f>SUM(AS10:AS19)</f>
        <v>472.3609176</v>
      </c>
      <c r="AT20" s="997" t="s">
        <v>37</v>
      </c>
      <c r="AU20" s="710">
        <f>SUM(AU10:AU19)</f>
        <v>49</v>
      </c>
      <c r="AV20" s="710">
        <f>SUM(AV10:AV19)</f>
        <v>15</v>
      </c>
      <c r="AW20" s="710"/>
      <c r="AX20" s="710"/>
      <c r="AY20" s="710"/>
      <c r="AZ20" s="710"/>
      <c r="BA20" s="710"/>
      <c r="BB20" s="710"/>
      <c r="BC20" s="998">
        <f>SUM(BC10:BC19)</f>
        <v>2048.7686312000005</v>
      </c>
      <c r="BD20" s="997" t="s">
        <v>37</v>
      </c>
      <c r="BE20" s="1004">
        <f>SUM(BE10:BE19)</f>
        <v>0</v>
      </c>
      <c r="BF20" s="1004">
        <f>SUM(BF10:BF19)</f>
        <v>15</v>
      </c>
      <c r="BG20" s="1004">
        <f>SUM(BG10:BG19)</f>
        <v>1</v>
      </c>
      <c r="BH20" s="1005"/>
      <c r="BI20" s="1005"/>
      <c r="BJ20" s="1005"/>
      <c r="BK20" s="1005"/>
      <c r="BL20" s="1005"/>
      <c r="BM20" s="1005"/>
      <c r="BN20" s="1005"/>
      <c r="BO20" s="1006">
        <f>SUM(BO10:BO19)</f>
        <v>331.6874328</v>
      </c>
      <c r="BP20" s="1007">
        <f>SUM(BP10:BP19)</f>
        <v>42639.49771279999</v>
      </c>
      <c r="BQ20" s="1008">
        <f>SUM(BQ10:BQ19)</f>
        <v>42639.50000000001</v>
      </c>
      <c r="BR20" s="1009">
        <f>SUM(BR10:BR19)</f>
        <v>42639.50000000001</v>
      </c>
    </row>
    <row r="21" spans="1:70" ht="12.75">
      <c r="A21" s="641"/>
      <c r="B21" s="641"/>
      <c r="C21" s="641"/>
      <c r="D21" s="642"/>
      <c r="E21" s="641"/>
      <c r="F21" s="641"/>
      <c r="G21" s="641"/>
      <c r="H21" s="641"/>
      <c r="I21" s="641"/>
      <c r="J21" s="642"/>
      <c r="K21" s="641"/>
      <c r="L21" s="641"/>
      <c r="M21" s="641"/>
      <c r="N21" s="641"/>
      <c r="O21" s="641"/>
      <c r="P21" s="641"/>
      <c r="Q21" s="641"/>
      <c r="R21" s="641"/>
      <c r="S21" s="641"/>
      <c r="T21" s="642"/>
      <c r="U21" s="643"/>
      <c r="V21" s="644"/>
      <c r="W21" s="641"/>
      <c r="X21" s="641"/>
      <c r="Y21" s="641"/>
      <c r="Z21" s="641"/>
      <c r="AA21" s="641"/>
      <c r="AB21" s="641"/>
      <c r="AC21" s="641"/>
      <c r="AD21" s="641"/>
      <c r="AE21" s="641"/>
      <c r="AF21" s="641"/>
      <c r="AG21" s="641"/>
      <c r="AH21" s="641"/>
      <c r="AI21" s="641"/>
      <c r="AJ21" s="641"/>
      <c r="AK21" s="641"/>
      <c r="AL21" s="641"/>
      <c r="AM21" s="641"/>
      <c r="AN21" s="641"/>
      <c r="AO21" s="641"/>
      <c r="AP21" s="641"/>
      <c r="AQ21" s="641"/>
      <c r="AR21" s="641"/>
      <c r="AS21" s="641"/>
      <c r="AT21" s="641"/>
      <c r="AU21" s="641"/>
      <c r="AV21" s="641"/>
      <c r="AW21" s="641"/>
      <c r="AX21" s="641"/>
      <c r="AY21" s="641"/>
      <c r="AZ21" s="641"/>
      <c r="BA21" s="641"/>
      <c r="BB21" s="641"/>
      <c r="BC21" s="642"/>
      <c r="BD21" s="641"/>
      <c r="BE21" s="645"/>
      <c r="BF21" s="645"/>
      <c r="BG21" s="645"/>
      <c r="BH21" s="645"/>
      <c r="BI21" s="645"/>
      <c r="BJ21" s="645"/>
      <c r="BK21" s="645"/>
      <c r="BL21" s="645"/>
      <c r="BM21" s="645"/>
      <c r="BN21" s="645"/>
      <c r="BO21" s="646"/>
      <c r="BP21" s="647"/>
      <c r="BQ21" s="647"/>
      <c r="BR21" s="647"/>
    </row>
    <row r="22" spans="12:64" ht="12.75">
      <c r="L22" s="648"/>
      <c r="M22" s="649"/>
      <c r="N22" s="649"/>
      <c r="BD22" s="236"/>
      <c r="BL22" s="617"/>
    </row>
    <row r="23" spans="8:20" ht="12.75">
      <c r="H23" s="373"/>
      <c r="T23" s="372"/>
    </row>
    <row r="25" ht="12.75">
      <c r="BP25" s="640"/>
    </row>
  </sheetData>
  <sheetProtection/>
  <mergeCells count="29">
    <mergeCell ref="A1:J1"/>
    <mergeCell ref="A2:J2"/>
    <mergeCell ref="A3:J3"/>
    <mergeCell ref="A4:J4"/>
    <mergeCell ref="A6:A8"/>
    <mergeCell ref="B6:J6"/>
    <mergeCell ref="K6:K8"/>
    <mergeCell ref="L6:V6"/>
    <mergeCell ref="W6:W8"/>
    <mergeCell ref="X6:AD6"/>
    <mergeCell ref="AE6:AE8"/>
    <mergeCell ref="AF6:AL6"/>
    <mergeCell ref="AM6:AM8"/>
    <mergeCell ref="AN6:AS6"/>
    <mergeCell ref="AT6:AT8"/>
    <mergeCell ref="AU6:BC6"/>
    <mergeCell ref="BD6:BD8"/>
    <mergeCell ref="BE6:BO6"/>
    <mergeCell ref="BE7:BO7"/>
    <mergeCell ref="BP6:BP8"/>
    <mergeCell ref="BQ6:BQ8"/>
    <mergeCell ref="BR6:BR8"/>
    <mergeCell ref="B7:D7"/>
    <mergeCell ref="E7:J7"/>
    <mergeCell ref="L7:V7"/>
    <mergeCell ref="X7:AD7"/>
    <mergeCell ref="AF7:AL7"/>
    <mergeCell ref="AN7:AS7"/>
    <mergeCell ref="AU7:BC7"/>
  </mergeCells>
  <printOptions/>
  <pageMargins left="0.22" right="0.18" top="0.7480314960629921" bottom="0.35" header="0.31496062992125984" footer="0.31496062992125984"/>
  <pageSetup horizontalDpi="600" verticalDpi="600" orientation="landscape" paperSize="9" scale="85" r:id="rId1"/>
  <colBreaks count="3" manualBreakCount="3">
    <brk id="30" max="65535" man="1"/>
    <brk id="45" max="65535" man="1"/>
    <brk id="55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23.625" style="172" customWidth="1"/>
    <col min="2" max="2" width="13.375" style="172" hidden="1" customWidth="1"/>
    <col min="3" max="3" width="14.125" style="172" hidden="1" customWidth="1"/>
    <col min="4" max="4" width="12.625" style="172" hidden="1" customWidth="1"/>
    <col min="5" max="5" width="12.75390625" style="172" hidden="1" customWidth="1"/>
    <col min="6" max="6" width="8.00390625" style="172" hidden="1" customWidth="1"/>
    <col min="7" max="7" width="18.125" style="172" customWidth="1"/>
    <col min="8" max="8" width="19.125" style="172" customWidth="1"/>
    <col min="9" max="9" width="15.875" style="172" customWidth="1"/>
    <col min="10" max="10" width="14.875" style="172" customWidth="1"/>
    <col min="11" max="12" width="18.125" style="172" customWidth="1"/>
    <col min="13" max="13" width="18.375" style="658" customWidth="1"/>
    <col min="14" max="14" width="9.125" style="172" hidden="1" customWidth="1"/>
    <col min="15" max="15" width="0" style="172" hidden="1" customWidth="1"/>
    <col min="16" max="16384" width="9.125" style="172" customWidth="1"/>
  </cols>
  <sheetData>
    <row r="1" spans="1:15" ht="18.75">
      <c r="A1" s="1455" t="s">
        <v>141</v>
      </c>
      <c r="B1" s="1455"/>
      <c r="C1" s="1455"/>
      <c r="D1" s="1455"/>
      <c r="E1" s="1455"/>
      <c r="F1" s="1455"/>
      <c r="G1" s="1455"/>
      <c r="H1" s="1455"/>
      <c r="I1" s="1455"/>
      <c r="J1" s="1455"/>
      <c r="K1" s="1455"/>
      <c r="L1" s="1455"/>
      <c r="M1" s="1455"/>
      <c r="N1" s="1455"/>
      <c r="O1" s="1455"/>
    </row>
    <row r="2" spans="1:15" ht="64.5" customHeight="1">
      <c r="A2" s="1456" t="s">
        <v>424</v>
      </c>
      <c r="B2" s="1456"/>
      <c r="C2" s="1456"/>
      <c r="D2" s="1456"/>
      <c r="E2" s="1456"/>
      <c r="F2" s="1456"/>
      <c r="G2" s="1456"/>
      <c r="H2" s="1456"/>
      <c r="I2" s="1456"/>
      <c r="J2" s="1456"/>
      <c r="K2" s="1456"/>
      <c r="L2" s="1456"/>
      <c r="M2" s="1456"/>
      <c r="N2" s="1456"/>
      <c r="O2" s="1456"/>
    </row>
    <row r="3" spans="1:15" ht="16.5" customHeight="1">
      <c r="A3" s="459"/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</row>
    <row r="4" ht="16.5" thickBot="1">
      <c r="M4" s="822" t="s">
        <v>175</v>
      </c>
    </row>
    <row r="5" spans="1:15" s="502" customFormat="1" ht="42" customHeight="1" thickBot="1">
      <c r="A5" s="1522" t="s">
        <v>29</v>
      </c>
      <c r="B5" s="1531" t="s">
        <v>425</v>
      </c>
      <c r="C5" s="1532"/>
      <c r="D5" s="1532"/>
      <c r="E5" s="1532"/>
      <c r="F5" s="1533"/>
      <c r="G5" s="1534" t="s">
        <v>513</v>
      </c>
      <c r="H5" s="1535"/>
      <c r="I5" s="1535"/>
      <c r="J5" s="1535"/>
      <c r="K5" s="1535"/>
      <c r="L5" s="1535"/>
      <c r="M5" s="1536"/>
      <c r="N5" s="1537" t="s">
        <v>181</v>
      </c>
      <c r="O5" s="827" t="s">
        <v>37</v>
      </c>
    </row>
    <row r="6" spans="1:15" s="502" customFormat="1" ht="161.25" customHeight="1" thickBot="1">
      <c r="A6" s="1523"/>
      <c r="B6" s="828" t="s">
        <v>310</v>
      </c>
      <c r="C6" s="829" t="s">
        <v>426</v>
      </c>
      <c r="D6" s="829" t="s">
        <v>427</v>
      </c>
      <c r="E6" s="830" t="s">
        <v>428</v>
      </c>
      <c r="F6" s="831" t="s">
        <v>429</v>
      </c>
      <c r="G6" s="832" t="s">
        <v>310</v>
      </c>
      <c r="H6" s="833" t="s">
        <v>426</v>
      </c>
      <c r="I6" s="833" t="s">
        <v>427</v>
      </c>
      <c r="J6" s="834" t="s">
        <v>428</v>
      </c>
      <c r="K6" s="835" t="s">
        <v>510</v>
      </c>
      <c r="L6" s="835" t="s">
        <v>511</v>
      </c>
      <c r="M6" s="835" t="s">
        <v>512</v>
      </c>
      <c r="N6" s="1538"/>
      <c r="O6" s="836"/>
    </row>
    <row r="7" spans="1:15" s="502" customFormat="1" ht="17.25" customHeight="1">
      <c r="A7" s="837" t="s">
        <v>39</v>
      </c>
      <c r="B7" s="838"/>
      <c r="C7" s="839"/>
      <c r="D7" s="839"/>
      <c r="E7" s="840"/>
      <c r="F7" s="841"/>
      <c r="G7" s="842">
        <v>7839</v>
      </c>
      <c r="H7" s="843">
        <v>6989.3</v>
      </c>
      <c r="I7" s="844">
        <v>8764</v>
      </c>
      <c r="J7" s="845">
        <v>0.95</v>
      </c>
      <c r="K7" s="808">
        <v>5939</v>
      </c>
      <c r="L7" s="808">
        <v>3575</v>
      </c>
      <c r="M7" s="809"/>
      <c r="N7" s="846">
        <v>5939</v>
      </c>
      <c r="O7" s="847" t="e">
        <f>N7+#REF!</f>
        <v>#REF!</v>
      </c>
    </row>
    <row r="8" spans="1:15" s="502" customFormat="1" ht="32.25" customHeight="1">
      <c r="A8" s="848" t="s">
        <v>501</v>
      </c>
      <c r="B8" s="838"/>
      <c r="C8" s="839"/>
      <c r="D8" s="839"/>
      <c r="E8" s="840"/>
      <c r="F8" s="841"/>
      <c r="G8" s="842"/>
      <c r="H8" s="843"/>
      <c r="I8" s="844"/>
      <c r="J8" s="845"/>
      <c r="K8" s="808"/>
      <c r="L8" s="808"/>
      <c r="M8" s="810">
        <v>1900</v>
      </c>
      <c r="N8" s="846"/>
      <c r="O8" s="847"/>
    </row>
    <row r="9" spans="1:15" s="502" customFormat="1" ht="17.25" customHeight="1">
      <c r="A9" s="849" t="s">
        <v>138</v>
      </c>
      <c r="B9" s="850"/>
      <c r="C9" s="851"/>
      <c r="D9" s="851"/>
      <c r="E9" s="852"/>
      <c r="F9" s="853"/>
      <c r="G9" s="854"/>
      <c r="H9" s="851"/>
      <c r="I9" s="855"/>
      <c r="J9" s="852"/>
      <c r="K9" s="811"/>
      <c r="L9" s="811">
        <v>3800</v>
      </c>
      <c r="M9" s="810">
        <v>6520</v>
      </c>
      <c r="N9" s="856"/>
      <c r="O9" s="853" t="e">
        <f>N9+#REF!</f>
        <v>#REF!</v>
      </c>
    </row>
    <row r="10" spans="1:15" s="502" customFormat="1" ht="17.25" customHeight="1">
      <c r="A10" s="857" t="s">
        <v>36</v>
      </c>
      <c r="B10" s="858"/>
      <c r="C10" s="859"/>
      <c r="D10" s="859"/>
      <c r="E10" s="860"/>
      <c r="F10" s="861"/>
      <c r="G10" s="854">
        <v>7839</v>
      </c>
      <c r="H10" s="862">
        <v>2236</v>
      </c>
      <c r="I10" s="863">
        <v>8764</v>
      </c>
      <c r="J10" s="864">
        <v>0.95</v>
      </c>
      <c r="K10" s="811">
        <v>1900</v>
      </c>
      <c r="L10" s="811">
        <v>1425</v>
      </c>
      <c r="M10" s="228"/>
      <c r="N10" s="865">
        <v>1900</v>
      </c>
      <c r="O10" s="853" t="e">
        <f>N10+#REF!</f>
        <v>#REF!</v>
      </c>
    </row>
    <row r="11" spans="1:15" s="502" customFormat="1" ht="17.25" customHeight="1">
      <c r="A11" s="866" t="s">
        <v>31</v>
      </c>
      <c r="B11" s="867"/>
      <c r="C11" s="867"/>
      <c r="D11" s="867"/>
      <c r="E11" s="867"/>
      <c r="F11" s="868"/>
      <c r="G11" s="869"/>
      <c r="H11" s="870"/>
      <c r="I11" s="871"/>
      <c r="J11" s="872"/>
      <c r="K11" s="811"/>
      <c r="L11" s="873"/>
      <c r="M11" s="228">
        <v>380</v>
      </c>
      <c r="N11" s="874"/>
      <c r="O11" s="875"/>
    </row>
    <row r="12" spans="1:15" s="502" customFormat="1" ht="17.25" customHeight="1" thickBot="1">
      <c r="A12" s="866" t="s">
        <v>32</v>
      </c>
      <c r="F12" s="875"/>
      <c r="G12" s="876">
        <v>3000</v>
      </c>
      <c r="H12" s="877">
        <v>95545.4</v>
      </c>
      <c r="I12" s="877">
        <v>6688</v>
      </c>
      <c r="J12" s="872">
        <v>0.07</v>
      </c>
      <c r="K12" s="811">
        <v>3000</v>
      </c>
      <c r="L12" s="873"/>
      <c r="M12" s="878"/>
      <c r="N12" s="879">
        <f>F12+K12</f>
        <v>3000</v>
      </c>
      <c r="O12" s="875" t="e">
        <f>N12+#REF!</f>
        <v>#REF!</v>
      </c>
    </row>
    <row r="13" spans="1:15" s="502" customFormat="1" ht="17.25" customHeight="1" thickBot="1">
      <c r="A13" s="880" t="s">
        <v>37</v>
      </c>
      <c r="B13" s="881"/>
      <c r="C13" s="882"/>
      <c r="D13" s="883"/>
      <c r="E13" s="884"/>
      <c r="F13" s="812"/>
      <c r="G13" s="885"/>
      <c r="H13" s="883"/>
      <c r="I13" s="883"/>
      <c r="J13" s="884"/>
      <c r="K13" s="812">
        <f>SUM(K7:K12)</f>
        <v>10839</v>
      </c>
      <c r="L13" s="812">
        <f>SUM(L7:L12)</f>
        <v>8800</v>
      </c>
      <c r="M13" s="812">
        <f>SUM(M7:M12)</f>
        <v>8800</v>
      </c>
      <c r="N13" s="886">
        <f>SUM(N7:N12)</f>
        <v>10839</v>
      </c>
      <c r="O13" s="812" t="e">
        <f>SUM(O7:O12)</f>
        <v>#REF!</v>
      </c>
    </row>
    <row r="14" spans="1:15" s="192" customFormat="1" ht="17.25" customHeight="1">
      <c r="A14" s="887"/>
      <c r="B14" s="888"/>
      <c r="C14" s="889"/>
      <c r="D14" s="888"/>
      <c r="E14" s="888"/>
      <c r="F14" s="821"/>
      <c r="G14" s="888"/>
      <c r="H14" s="888"/>
      <c r="I14" s="888"/>
      <c r="J14" s="888"/>
      <c r="K14" s="821"/>
      <c r="L14" s="821"/>
      <c r="M14" s="821"/>
      <c r="N14" s="821"/>
      <c r="O14" s="821"/>
    </row>
    <row r="15" s="502" customFormat="1" ht="16.5" thickBot="1">
      <c r="M15" s="822" t="s">
        <v>175</v>
      </c>
    </row>
    <row r="16" spans="1:13" s="502" customFormat="1" ht="39" customHeight="1" thickBot="1">
      <c r="A16" s="1522" t="s">
        <v>29</v>
      </c>
      <c r="G16" s="1524" t="s">
        <v>514</v>
      </c>
      <c r="H16" s="1525"/>
      <c r="I16" s="1525"/>
      <c r="J16" s="1525"/>
      <c r="K16" s="1525"/>
      <c r="L16" s="1525"/>
      <c r="M16" s="1526"/>
    </row>
    <row r="17" spans="1:13" s="502" customFormat="1" ht="159.75" customHeight="1" thickBot="1">
      <c r="A17" s="1523"/>
      <c r="G17" s="832" t="s">
        <v>310</v>
      </c>
      <c r="H17" s="833" t="s">
        <v>430</v>
      </c>
      <c r="I17" s="1527" t="s">
        <v>431</v>
      </c>
      <c r="J17" s="1528"/>
      <c r="K17" s="835" t="s">
        <v>510</v>
      </c>
      <c r="L17" s="835" t="s">
        <v>511</v>
      </c>
      <c r="M17" s="835" t="s">
        <v>512</v>
      </c>
    </row>
    <row r="18" spans="1:13" s="502" customFormat="1" ht="15.75">
      <c r="A18" s="837" t="s">
        <v>39</v>
      </c>
      <c r="G18" s="814"/>
      <c r="H18" s="814"/>
      <c r="I18" s="1529"/>
      <c r="J18" s="1530"/>
      <c r="K18" s="808"/>
      <c r="L18" s="808"/>
      <c r="M18" s="815">
        <v>332.5</v>
      </c>
    </row>
    <row r="19" spans="1:13" s="502" customFormat="1" ht="31.5">
      <c r="A19" s="848" t="s">
        <v>501</v>
      </c>
      <c r="G19" s="816"/>
      <c r="H19" s="816"/>
      <c r="I19" s="1510"/>
      <c r="J19" s="1511"/>
      <c r="K19" s="808"/>
      <c r="L19" s="808">
        <v>332.5</v>
      </c>
      <c r="M19" s="810"/>
    </row>
    <row r="20" spans="1:13" s="502" customFormat="1" ht="16.5" thickBot="1">
      <c r="A20" s="849" t="s">
        <v>138</v>
      </c>
      <c r="G20" s="817">
        <v>142</v>
      </c>
      <c r="H20" s="817">
        <v>200</v>
      </c>
      <c r="I20" s="1518">
        <v>200</v>
      </c>
      <c r="J20" s="1519"/>
      <c r="K20" s="811">
        <v>142</v>
      </c>
      <c r="L20" s="811"/>
      <c r="M20" s="810"/>
    </row>
    <row r="21" spans="1:13" s="502" customFormat="1" ht="16.5" thickBot="1">
      <c r="A21" s="880" t="s">
        <v>37</v>
      </c>
      <c r="G21" s="818">
        <f>G20</f>
        <v>142</v>
      </c>
      <c r="H21" s="819">
        <f>H20</f>
        <v>200</v>
      </c>
      <c r="I21" s="1520">
        <f>I20</f>
        <v>200</v>
      </c>
      <c r="J21" s="1521"/>
      <c r="K21" s="812">
        <f>SUM(K18:K20)</f>
        <v>142</v>
      </c>
      <c r="L21" s="812">
        <f>SUM(L18:L20)</f>
        <v>332.5</v>
      </c>
      <c r="M21" s="812">
        <f>SUM(M18:M20)</f>
        <v>332.5</v>
      </c>
    </row>
    <row r="22" spans="1:13" s="192" customFormat="1" ht="15.75">
      <c r="A22" s="887"/>
      <c r="G22" s="820"/>
      <c r="H22" s="820"/>
      <c r="I22" s="820"/>
      <c r="J22" s="820"/>
      <c r="K22" s="821"/>
      <c r="L22" s="821"/>
      <c r="M22" s="821"/>
    </row>
    <row r="23" spans="7:13" s="502" customFormat="1" ht="16.5" thickBot="1">
      <c r="G23" s="813"/>
      <c r="H23" s="813"/>
      <c r="I23" s="813"/>
      <c r="J23" s="813"/>
      <c r="K23" s="813"/>
      <c r="L23" s="813"/>
      <c r="M23" s="822" t="s">
        <v>175</v>
      </c>
    </row>
    <row r="24" spans="1:13" s="502" customFormat="1" ht="51.75" customHeight="1" thickBot="1">
      <c r="A24" s="1522" t="s">
        <v>29</v>
      </c>
      <c r="G24" s="1524" t="s">
        <v>515</v>
      </c>
      <c r="H24" s="1525"/>
      <c r="I24" s="1525"/>
      <c r="J24" s="1525"/>
      <c r="K24" s="1525"/>
      <c r="L24" s="1525"/>
      <c r="M24" s="1526"/>
    </row>
    <row r="25" spans="1:13" s="502" customFormat="1" ht="134.25" customHeight="1" thickBot="1">
      <c r="A25" s="1523"/>
      <c r="G25" s="890" t="s">
        <v>517</v>
      </c>
      <c r="H25" s="891" t="s">
        <v>516</v>
      </c>
      <c r="I25" s="1527" t="s">
        <v>518</v>
      </c>
      <c r="J25" s="1528"/>
      <c r="K25" s="835" t="s">
        <v>510</v>
      </c>
      <c r="L25" s="835" t="s">
        <v>511</v>
      </c>
      <c r="M25" s="835" t="s">
        <v>512</v>
      </c>
    </row>
    <row r="26" spans="1:13" s="502" customFormat="1" ht="15.75">
      <c r="A26" s="837" t="s">
        <v>39</v>
      </c>
      <c r="G26" s="814">
        <v>153.24</v>
      </c>
      <c r="H26" s="814">
        <v>162</v>
      </c>
      <c r="I26" s="1529">
        <v>286</v>
      </c>
      <c r="J26" s="1530"/>
      <c r="K26" s="808">
        <v>7100.3</v>
      </c>
      <c r="L26" s="808">
        <f aca="true" t="shared" si="0" ref="L26:M29">K26</f>
        <v>7100.3</v>
      </c>
      <c r="M26" s="815">
        <f t="shared" si="0"/>
        <v>7100.3</v>
      </c>
    </row>
    <row r="27" spans="1:13" s="502" customFormat="1" ht="31.5">
      <c r="A27" s="848" t="s">
        <v>501</v>
      </c>
      <c r="G27" s="816">
        <v>153.24</v>
      </c>
      <c r="H27" s="816">
        <v>162</v>
      </c>
      <c r="I27" s="1510">
        <v>2</v>
      </c>
      <c r="J27" s="1511"/>
      <c r="K27" s="808">
        <v>49.6</v>
      </c>
      <c r="L27" s="808">
        <f t="shared" si="0"/>
        <v>49.6</v>
      </c>
      <c r="M27" s="815">
        <f t="shared" si="0"/>
        <v>49.6</v>
      </c>
    </row>
    <row r="28" spans="1:13" s="502" customFormat="1" ht="15.75">
      <c r="A28" s="849" t="s">
        <v>138</v>
      </c>
      <c r="G28" s="816">
        <v>153.24</v>
      </c>
      <c r="H28" s="824">
        <v>162</v>
      </c>
      <c r="I28" s="1512">
        <v>3</v>
      </c>
      <c r="J28" s="1513"/>
      <c r="K28" s="808">
        <v>74.5</v>
      </c>
      <c r="L28" s="808">
        <f t="shared" si="0"/>
        <v>74.5</v>
      </c>
      <c r="M28" s="815">
        <f t="shared" si="0"/>
        <v>74.5</v>
      </c>
    </row>
    <row r="29" spans="1:13" s="502" customFormat="1" ht="16.5" thickBot="1">
      <c r="A29" s="866" t="s">
        <v>32</v>
      </c>
      <c r="G29" s="816">
        <v>153.24</v>
      </c>
      <c r="H29" s="825">
        <v>162</v>
      </c>
      <c r="I29" s="1516">
        <v>2</v>
      </c>
      <c r="J29" s="1517"/>
      <c r="K29" s="808">
        <v>49.6</v>
      </c>
      <c r="L29" s="808">
        <f t="shared" si="0"/>
        <v>49.6</v>
      </c>
      <c r="M29" s="815">
        <f t="shared" si="0"/>
        <v>49.6</v>
      </c>
    </row>
    <row r="30" spans="1:13" s="502" customFormat="1" ht="16.5" thickBot="1">
      <c r="A30" s="880" t="s">
        <v>37</v>
      </c>
      <c r="G30" s="823">
        <v>153.237</v>
      </c>
      <c r="H30" s="826">
        <f>H28</f>
        <v>162</v>
      </c>
      <c r="I30" s="1514">
        <f>I26+I27+I28+I29</f>
        <v>293</v>
      </c>
      <c r="J30" s="1515"/>
      <c r="K30" s="812">
        <f>SUM(K26:K29)</f>
        <v>7274.000000000001</v>
      </c>
      <c r="L30" s="812">
        <f>SUM(L26:L29)</f>
        <v>7274.000000000001</v>
      </c>
      <c r="M30" s="812">
        <f>SUM(M26:M29)</f>
        <v>7274.000000000001</v>
      </c>
    </row>
  </sheetData>
  <sheetProtection/>
  <mergeCells count="21">
    <mergeCell ref="A1:O1"/>
    <mergeCell ref="A2:O2"/>
    <mergeCell ref="A5:A6"/>
    <mergeCell ref="B5:F5"/>
    <mergeCell ref="G5:M5"/>
    <mergeCell ref="N5:N6"/>
    <mergeCell ref="A24:A25"/>
    <mergeCell ref="G24:M24"/>
    <mergeCell ref="I25:J25"/>
    <mergeCell ref="I26:J26"/>
    <mergeCell ref="A16:A17"/>
    <mergeCell ref="G16:M16"/>
    <mergeCell ref="I17:J17"/>
    <mergeCell ref="I18:J18"/>
    <mergeCell ref="I19:J19"/>
    <mergeCell ref="I27:J27"/>
    <mergeCell ref="I28:J28"/>
    <mergeCell ref="I30:J30"/>
    <mergeCell ref="I29:J29"/>
    <mergeCell ref="I20:J20"/>
    <mergeCell ref="I21:J21"/>
  </mergeCells>
  <printOptions horizontalCentered="1"/>
  <pageMargins left="0.35433070866141736" right="0.2755905511811024" top="0.7480314960629921" bottom="0.7480314960629921" header="0.31496062992125984" footer="0.31496062992125984"/>
  <pageSetup fitToHeight="0" fitToWidth="1" horizontalDpi="600" verticalDpi="600" orientation="portrait" paperSize="9" scale="6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7"/>
  <sheetViews>
    <sheetView zoomScalePageLayoutView="0" workbookViewId="0" topLeftCell="A76">
      <selection activeCell="L91" sqref="L91"/>
    </sheetView>
  </sheetViews>
  <sheetFormatPr defaultColWidth="9.00390625" defaultRowHeight="12.75"/>
  <cols>
    <col min="1" max="1" width="36.75390625" style="0" customWidth="1"/>
    <col min="2" max="2" width="12.125" style="0" customWidth="1"/>
    <col min="3" max="3" width="15.25390625" style="0" customWidth="1"/>
    <col min="4" max="4" width="15.375" style="0" customWidth="1"/>
    <col min="5" max="5" width="15.00390625" style="0" customWidth="1"/>
  </cols>
  <sheetData>
    <row r="1" spans="1:5" ht="18.75">
      <c r="A1" s="1455" t="s">
        <v>453</v>
      </c>
      <c r="B1" s="1455"/>
      <c r="C1" s="1455"/>
      <c r="D1" s="1455"/>
      <c r="E1" s="1455"/>
    </row>
    <row r="2" spans="1:5" ht="81" customHeight="1">
      <c r="A2" s="1314" t="s">
        <v>452</v>
      </c>
      <c r="B2" s="1314"/>
      <c r="C2" s="1314"/>
      <c r="D2" s="1314"/>
      <c r="E2" s="1314"/>
    </row>
    <row r="3" spans="1:5" ht="11.25" customHeight="1">
      <c r="A3" s="665"/>
      <c r="B3" s="665"/>
      <c r="C3" s="665"/>
      <c r="D3" s="665"/>
      <c r="E3" s="665"/>
    </row>
    <row r="4" spans="1:5" ht="48" customHeight="1">
      <c r="A4" s="1539" t="s">
        <v>458</v>
      </c>
      <c r="B4" s="1539"/>
      <c r="C4" s="1539"/>
      <c r="D4" s="1539"/>
      <c r="E4" s="1539"/>
    </row>
    <row r="5" ht="16.5" thickBot="1">
      <c r="E5" s="691" t="s">
        <v>175</v>
      </c>
    </row>
    <row r="6" spans="1:5" ht="23.25" customHeight="1" thickBot="1">
      <c r="A6" s="1540" t="s">
        <v>432</v>
      </c>
      <c r="B6" s="1541"/>
      <c r="C6" s="666" t="s">
        <v>131</v>
      </c>
      <c r="D6" s="666" t="s">
        <v>132</v>
      </c>
      <c r="E6" s="667" t="s">
        <v>159</v>
      </c>
    </row>
    <row r="7" spans="1:5" ht="24.75" customHeight="1" thickBot="1">
      <c r="A7" s="1542" t="s">
        <v>433</v>
      </c>
      <c r="B7" s="1543"/>
      <c r="C7" s="685">
        <f>C10+C11</f>
        <v>80553.874</v>
      </c>
      <c r="D7" s="685">
        <v>70843.4</v>
      </c>
      <c r="E7" s="686">
        <f>E13+E21+0.1</f>
        <v>70843.426</v>
      </c>
    </row>
    <row r="8" spans="1:5" ht="15" customHeight="1">
      <c r="A8" s="1546" t="s">
        <v>38</v>
      </c>
      <c r="B8" s="1547"/>
      <c r="C8" s="668"/>
      <c r="D8" s="668"/>
      <c r="E8" s="669"/>
    </row>
    <row r="9" spans="1:5" ht="19.5" customHeight="1">
      <c r="A9" s="1548" t="s">
        <v>434</v>
      </c>
      <c r="B9" s="1549"/>
      <c r="C9" s="670">
        <f>C14+C22</f>
        <v>54</v>
      </c>
      <c r="D9" s="670">
        <f>D14+D22</f>
        <v>47</v>
      </c>
      <c r="E9" s="671">
        <f>E14+E22</f>
        <v>47</v>
      </c>
    </row>
    <row r="10" spans="1:5" ht="19.5" customHeight="1">
      <c r="A10" s="1548" t="s">
        <v>435</v>
      </c>
      <c r="B10" s="1549"/>
      <c r="C10" s="672">
        <f>C19+C40+C48+C32+C56+C64+C72+C80+C88</f>
        <v>295.704</v>
      </c>
      <c r="D10" s="672">
        <f>D19+D40+D48+D32+D56+D64+D72+D80+D88</f>
        <v>271.754</v>
      </c>
      <c r="E10" s="673">
        <f>E19+E40+E48+E32+E56+E64+E72+E80+E88</f>
        <v>271.754</v>
      </c>
    </row>
    <row r="11" spans="1:5" ht="19.5" customHeight="1">
      <c r="A11" s="1548" t="s">
        <v>436</v>
      </c>
      <c r="B11" s="1549"/>
      <c r="C11" s="672">
        <f>C20+C41+C49+C33+C57+C65+C73+C81+C89-0.8</f>
        <v>80258.17</v>
      </c>
      <c r="D11" s="672">
        <f>D20+D41+D49+D33+D57+D65+D73+D81+D89+5</f>
        <v>70571.61199999998</v>
      </c>
      <c r="E11" s="673">
        <f>E20+E41+E49+E33+E57+E65+E73+E81+E89+5</f>
        <v>70571.57199999997</v>
      </c>
    </row>
    <row r="12" spans="1:5" ht="19.5" customHeight="1" thickBot="1">
      <c r="A12" s="1564" t="s">
        <v>437</v>
      </c>
      <c r="B12" s="1565"/>
      <c r="C12" s="1565"/>
      <c r="D12" s="1565"/>
      <c r="E12" s="1566"/>
    </row>
    <row r="13" spans="1:5" ht="19.5" customHeight="1" thickBot="1">
      <c r="A13" s="1550" t="s">
        <v>455</v>
      </c>
      <c r="B13" s="1551"/>
      <c r="C13" s="687">
        <v>75596.4</v>
      </c>
      <c r="D13" s="687">
        <v>65080.4</v>
      </c>
      <c r="E13" s="688">
        <f>E19+E20+5</f>
        <v>65080.416</v>
      </c>
    </row>
    <row r="14" spans="1:5" ht="19.5" customHeight="1">
      <c r="A14" s="1552" t="s">
        <v>439</v>
      </c>
      <c r="B14" s="1553"/>
      <c r="C14" s="676">
        <v>46</v>
      </c>
      <c r="D14" s="676">
        <v>38</v>
      </c>
      <c r="E14" s="677">
        <v>38</v>
      </c>
    </row>
    <row r="15" spans="1:5" ht="19.5" customHeight="1">
      <c r="A15" s="1544" t="s">
        <v>440</v>
      </c>
      <c r="B15" s="1545"/>
      <c r="C15" s="670">
        <v>15</v>
      </c>
      <c r="D15" s="670">
        <v>15</v>
      </c>
      <c r="E15" s="671">
        <v>15</v>
      </c>
    </row>
    <row r="16" spans="1:5" ht="19.5" customHeight="1">
      <c r="A16" s="1544" t="s">
        <v>441</v>
      </c>
      <c r="B16" s="1545"/>
      <c r="C16" s="670">
        <v>30</v>
      </c>
      <c r="D16" s="670">
        <v>30</v>
      </c>
      <c r="E16" s="671">
        <v>30</v>
      </c>
    </row>
    <row r="17" spans="1:5" ht="19.5" customHeight="1">
      <c r="A17" s="1544" t="s">
        <v>442</v>
      </c>
      <c r="B17" s="1545"/>
      <c r="C17" s="678">
        <v>54.598</v>
      </c>
      <c r="D17" s="678">
        <v>56.891</v>
      </c>
      <c r="E17" s="679">
        <v>60.251</v>
      </c>
    </row>
    <row r="18" spans="1:5" ht="19.5" customHeight="1">
      <c r="A18" s="1544" t="s">
        <v>443</v>
      </c>
      <c r="B18" s="1545"/>
      <c r="C18" s="678">
        <v>5.476</v>
      </c>
      <c r="D18" s="678">
        <v>5.782</v>
      </c>
      <c r="E18" s="679">
        <v>5.782</v>
      </c>
    </row>
    <row r="19" spans="1:5" ht="19.5" customHeight="1">
      <c r="A19" s="1544" t="s">
        <v>435</v>
      </c>
      <c r="B19" s="1545"/>
      <c r="C19" s="672">
        <f>C14*C18</f>
        <v>251.896</v>
      </c>
      <c r="D19" s="672">
        <f>D14*D18</f>
        <v>219.716</v>
      </c>
      <c r="E19" s="673">
        <f>E14*E18</f>
        <v>219.716</v>
      </c>
    </row>
    <row r="20" spans="1:5" ht="19.5" customHeight="1">
      <c r="A20" s="1544" t="s">
        <v>436</v>
      </c>
      <c r="B20" s="1545"/>
      <c r="C20" s="672">
        <f>C14*C16*C17</f>
        <v>75345.24</v>
      </c>
      <c r="D20" s="672">
        <f>D14*D16*D17</f>
        <v>64855.74</v>
      </c>
      <c r="E20" s="673">
        <v>64855.7</v>
      </c>
    </row>
    <row r="21" spans="1:5" ht="19.5" customHeight="1">
      <c r="A21" s="1554" t="s">
        <v>444</v>
      </c>
      <c r="B21" s="1555"/>
      <c r="C21" s="680">
        <f>C23+C24</f>
        <v>4957.538000000001</v>
      </c>
      <c r="D21" s="680">
        <f>D23+D24</f>
        <v>5762.909999999999</v>
      </c>
      <c r="E21" s="681">
        <f>E23+E24</f>
        <v>5762.909999999999</v>
      </c>
    </row>
    <row r="22" spans="1:5" ht="19.5" customHeight="1">
      <c r="A22" s="1544" t="s">
        <v>439</v>
      </c>
      <c r="B22" s="1545"/>
      <c r="C22" s="672">
        <f>C35+C27+C43+C51+C59+C67+C75+C83</f>
        <v>8</v>
      </c>
      <c r="D22" s="672">
        <f>D35+D27+D43+D51+D59+D67+D75+D83</f>
        <v>9</v>
      </c>
      <c r="E22" s="673">
        <f>E35+E27+E43+E51+E59+E67+E75+E83</f>
        <v>9</v>
      </c>
    </row>
    <row r="23" spans="1:5" ht="19.5" customHeight="1">
      <c r="A23" s="1544" t="s">
        <v>435</v>
      </c>
      <c r="B23" s="1545"/>
      <c r="C23" s="672">
        <f aca="true" t="shared" si="0" ref="C23:E24">C40+C32+C48+C56+C64+C72+C80+C88</f>
        <v>43.808</v>
      </c>
      <c r="D23" s="672">
        <f t="shared" si="0"/>
        <v>52.038</v>
      </c>
      <c r="E23" s="673">
        <f t="shared" si="0"/>
        <v>52.038</v>
      </c>
    </row>
    <row r="24" spans="1:5" ht="19.5" customHeight="1">
      <c r="A24" s="1544" t="s">
        <v>436</v>
      </c>
      <c r="B24" s="1545"/>
      <c r="C24" s="672">
        <f t="shared" si="0"/>
        <v>4913.730000000001</v>
      </c>
      <c r="D24" s="672">
        <f t="shared" si="0"/>
        <v>5710.871999999999</v>
      </c>
      <c r="E24" s="673">
        <f t="shared" si="0"/>
        <v>5710.871999999999</v>
      </c>
    </row>
    <row r="25" spans="1:5" ht="19.5" customHeight="1" thickBot="1">
      <c r="A25" s="1556" t="s">
        <v>38</v>
      </c>
      <c r="B25" s="1557"/>
      <c r="C25" s="674"/>
      <c r="D25" s="674"/>
      <c r="E25" s="675"/>
    </row>
    <row r="26" spans="1:5" ht="19.5" customHeight="1" thickBot="1">
      <c r="A26" s="1558" t="s">
        <v>456</v>
      </c>
      <c r="B26" s="1559"/>
      <c r="C26" s="689">
        <f>C32+C33</f>
        <v>0</v>
      </c>
      <c r="D26" s="689">
        <f>D32+D33</f>
        <v>638.1940000000001</v>
      </c>
      <c r="E26" s="690">
        <f>E32+E33</f>
        <v>638.1940000000001</v>
      </c>
    </row>
    <row r="27" spans="1:5" ht="19.5" customHeight="1">
      <c r="A27" s="1552" t="s">
        <v>439</v>
      </c>
      <c r="B27" s="1553"/>
      <c r="C27" s="676"/>
      <c r="D27" s="676">
        <v>1</v>
      </c>
      <c r="E27" s="677">
        <v>1</v>
      </c>
    </row>
    <row r="28" spans="1:5" ht="19.5" customHeight="1">
      <c r="A28" s="1544" t="s">
        <v>440</v>
      </c>
      <c r="B28" s="1545"/>
      <c r="C28" s="670"/>
      <c r="D28" s="670">
        <v>18</v>
      </c>
      <c r="E28" s="671">
        <v>18</v>
      </c>
    </row>
    <row r="29" spans="1:5" ht="19.5" customHeight="1">
      <c r="A29" s="1544" t="s">
        <v>441</v>
      </c>
      <c r="B29" s="1545"/>
      <c r="C29" s="670"/>
      <c r="D29" s="670">
        <v>33</v>
      </c>
      <c r="E29" s="671">
        <v>33</v>
      </c>
    </row>
    <row r="30" spans="1:5" ht="19.5" customHeight="1">
      <c r="A30" s="1544" t="s">
        <v>442</v>
      </c>
      <c r="B30" s="1545"/>
      <c r="C30" s="678"/>
      <c r="D30" s="678">
        <v>19.164</v>
      </c>
      <c r="E30" s="679">
        <f>D30</f>
        <v>19.164</v>
      </c>
    </row>
    <row r="31" spans="1:5" ht="19.5" customHeight="1">
      <c r="A31" s="1544" t="s">
        <v>443</v>
      </c>
      <c r="B31" s="1545"/>
      <c r="C31" s="678"/>
      <c r="D31" s="678">
        <v>5.782</v>
      </c>
      <c r="E31" s="679">
        <f>D31</f>
        <v>5.782</v>
      </c>
    </row>
    <row r="32" spans="1:5" ht="19.5" customHeight="1">
      <c r="A32" s="1544" t="s">
        <v>435</v>
      </c>
      <c r="B32" s="1545"/>
      <c r="C32" s="672"/>
      <c r="D32" s="672">
        <f>D27*D31</f>
        <v>5.782</v>
      </c>
      <c r="E32" s="673">
        <f>E27*E31</f>
        <v>5.782</v>
      </c>
    </row>
    <row r="33" spans="1:5" ht="19.5" customHeight="1" thickBot="1">
      <c r="A33" s="1556" t="s">
        <v>436</v>
      </c>
      <c r="B33" s="1557"/>
      <c r="C33" s="672"/>
      <c r="D33" s="672">
        <f>D27*D29*D30</f>
        <v>632.412</v>
      </c>
      <c r="E33" s="673">
        <f>E27*E29*E30</f>
        <v>632.412</v>
      </c>
    </row>
    <row r="34" spans="1:5" ht="19.5" customHeight="1" thickBot="1">
      <c r="A34" s="1558" t="s">
        <v>445</v>
      </c>
      <c r="B34" s="1559"/>
      <c r="C34" s="689">
        <f>C40+C41</f>
        <v>1763.5320000000004</v>
      </c>
      <c r="D34" s="689">
        <f>D40+D41</f>
        <v>1238.0600000000002</v>
      </c>
      <c r="E34" s="690">
        <f>E40+E41</f>
        <v>1238.0600000000002</v>
      </c>
    </row>
    <row r="35" spans="1:5" ht="19.5" customHeight="1">
      <c r="A35" s="1552" t="s">
        <v>439</v>
      </c>
      <c r="B35" s="1553"/>
      <c r="C35" s="676">
        <v>3</v>
      </c>
      <c r="D35" s="676">
        <v>2</v>
      </c>
      <c r="E35" s="677">
        <v>2</v>
      </c>
    </row>
    <row r="36" spans="1:5" ht="19.5" customHeight="1">
      <c r="A36" s="1544" t="s">
        <v>440</v>
      </c>
      <c r="B36" s="1545"/>
      <c r="C36" s="670">
        <v>16</v>
      </c>
      <c r="D36" s="670">
        <v>16</v>
      </c>
      <c r="E36" s="671">
        <v>16</v>
      </c>
    </row>
    <row r="37" spans="1:5" ht="19.5" customHeight="1">
      <c r="A37" s="1544" t="s">
        <v>441</v>
      </c>
      <c r="B37" s="1545"/>
      <c r="C37" s="670">
        <v>32</v>
      </c>
      <c r="D37" s="670">
        <v>32</v>
      </c>
      <c r="E37" s="671">
        <v>32</v>
      </c>
    </row>
    <row r="38" spans="1:5" ht="19.5" customHeight="1">
      <c r="A38" s="1544" t="s">
        <v>442</v>
      </c>
      <c r="B38" s="1545"/>
      <c r="C38" s="678">
        <v>18.199</v>
      </c>
      <c r="D38" s="678">
        <v>19.164</v>
      </c>
      <c r="E38" s="679">
        <f>D38</f>
        <v>19.164</v>
      </c>
    </row>
    <row r="39" spans="1:5" ht="19.5" customHeight="1">
      <c r="A39" s="1544" t="s">
        <v>443</v>
      </c>
      <c r="B39" s="1545"/>
      <c r="C39" s="678">
        <v>5.476</v>
      </c>
      <c r="D39" s="678">
        <v>5.782</v>
      </c>
      <c r="E39" s="679">
        <f>D39</f>
        <v>5.782</v>
      </c>
    </row>
    <row r="40" spans="1:5" ht="19.5" customHeight="1">
      <c r="A40" s="1544" t="s">
        <v>435</v>
      </c>
      <c r="B40" s="1545"/>
      <c r="C40" s="672">
        <f>C35*C39</f>
        <v>16.428</v>
      </c>
      <c r="D40" s="672">
        <f>D35*D39</f>
        <v>11.564</v>
      </c>
      <c r="E40" s="673">
        <f>E35*E39</f>
        <v>11.564</v>
      </c>
    </row>
    <row r="41" spans="1:5" ht="19.5" customHeight="1" thickBot="1">
      <c r="A41" s="1556" t="s">
        <v>436</v>
      </c>
      <c r="B41" s="1557"/>
      <c r="C41" s="672">
        <f>C35*C37*C38</f>
        <v>1747.1040000000003</v>
      </c>
      <c r="D41" s="672">
        <f>D35*D37*D38</f>
        <v>1226.496</v>
      </c>
      <c r="E41" s="673">
        <f>E35*E37*E38</f>
        <v>1226.496</v>
      </c>
    </row>
    <row r="42" spans="1:5" ht="19.5" customHeight="1" thickBot="1">
      <c r="A42" s="1558" t="s">
        <v>446</v>
      </c>
      <c r="B42" s="1559"/>
      <c r="C42" s="689">
        <f>C48+C49</f>
        <v>1321.2800000000002</v>
      </c>
      <c r="D42" s="689">
        <f>D48+D49</f>
        <v>695.686</v>
      </c>
      <c r="E42" s="690">
        <f>E48+E49</f>
        <v>695.686</v>
      </c>
    </row>
    <row r="43" spans="1:5" ht="19.5" customHeight="1">
      <c r="A43" s="1552" t="s">
        <v>439</v>
      </c>
      <c r="B43" s="1553"/>
      <c r="C43" s="676">
        <v>2</v>
      </c>
      <c r="D43" s="676">
        <v>1</v>
      </c>
      <c r="E43" s="677">
        <v>1</v>
      </c>
    </row>
    <row r="44" spans="1:5" ht="19.5" customHeight="1">
      <c r="A44" s="1544" t="s">
        <v>440</v>
      </c>
      <c r="B44" s="1545"/>
      <c r="C44" s="670">
        <v>18</v>
      </c>
      <c r="D44" s="670">
        <v>18</v>
      </c>
      <c r="E44" s="671">
        <v>18</v>
      </c>
    </row>
    <row r="45" spans="1:5" ht="19.5" customHeight="1">
      <c r="A45" s="1544" t="s">
        <v>441</v>
      </c>
      <c r="B45" s="1545"/>
      <c r="C45" s="670">
        <v>36</v>
      </c>
      <c r="D45" s="670">
        <v>36</v>
      </c>
      <c r="E45" s="671">
        <v>36</v>
      </c>
    </row>
    <row r="46" spans="1:5" ht="19.5" customHeight="1">
      <c r="A46" s="1544" t="s">
        <v>442</v>
      </c>
      <c r="B46" s="1545"/>
      <c r="C46" s="678">
        <v>18.199</v>
      </c>
      <c r="D46" s="678">
        <v>19.164</v>
      </c>
      <c r="E46" s="679">
        <f>D46</f>
        <v>19.164</v>
      </c>
    </row>
    <row r="47" spans="1:5" ht="19.5" customHeight="1">
      <c r="A47" s="1544" t="s">
        <v>443</v>
      </c>
      <c r="B47" s="1545"/>
      <c r="C47" s="678">
        <v>5.476</v>
      </c>
      <c r="D47" s="678">
        <v>5.782</v>
      </c>
      <c r="E47" s="679">
        <f>D47</f>
        <v>5.782</v>
      </c>
    </row>
    <row r="48" spans="1:5" ht="19.5" customHeight="1">
      <c r="A48" s="1544" t="s">
        <v>435</v>
      </c>
      <c r="B48" s="1545"/>
      <c r="C48" s="672">
        <f>C43*C47</f>
        <v>10.952</v>
      </c>
      <c r="D48" s="672">
        <f>D43*D47</f>
        <v>5.782</v>
      </c>
      <c r="E48" s="673">
        <f>E43*E47</f>
        <v>5.782</v>
      </c>
    </row>
    <row r="49" spans="1:5" ht="19.5" customHeight="1" thickBot="1">
      <c r="A49" s="1556" t="s">
        <v>436</v>
      </c>
      <c r="B49" s="1557"/>
      <c r="C49" s="672">
        <f>C43*C45*C46</f>
        <v>1310.3280000000002</v>
      </c>
      <c r="D49" s="672">
        <f>D43*D45*D46</f>
        <v>689.904</v>
      </c>
      <c r="E49" s="673">
        <f>E43*E45*E46</f>
        <v>689.904</v>
      </c>
    </row>
    <row r="50" spans="1:5" ht="19.5" customHeight="1" thickBot="1">
      <c r="A50" s="1558" t="s">
        <v>447</v>
      </c>
      <c r="B50" s="1559"/>
      <c r="C50" s="689">
        <f>C56+C57</f>
        <v>0</v>
      </c>
      <c r="D50" s="689">
        <f>D56+D57</f>
        <v>695.686</v>
      </c>
      <c r="E50" s="690">
        <f>E56+E57</f>
        <v>695.686</v>
      </c>
    </row>
    <row r="51" spans="1:5" ht="19.5" customHeight="1">
      <c r="A51" s="1552" t="s">
        <v>439</v>
      </c>
      <c r="B51" s="1553"/>
      <c r="C51" s="676"/>
      <c r="D51" s="676">
        <v>1</v>
      </c>
      <c r="E51" s="677">
        <v>1</v>
      </c>
    </row>
    <row r="52" spans="1:5" ht="19.5" customHeight="1">
      <c r="A52" s="1544" t="s">
        <v>440</v>
      </c>
      <c r="B52" s="1545"/>
      <c r="C52" s="670"/>
      <c r="D52" s="670">
        <v>18</v>
      </c>
      <c r="E52" s="671">
        <v>18</v>
      </c>
    </row>
    <row r="53" spans="1:5" ht="19.5" customHeight="1">
      <c r="A53" s="1544" t="s">
        <v>441</v>
      </c>
      <c r="B53" s="1545"/>
      <c r="C53" s="670"/>
      <c r="D53" s="670">
        <v>36</v>
      </c>
      <c r="E53" s="671">
        <v>36</v>
      </c>
    </row>
    <row r="54" spans="1:5" ht="19.5" customHeight="1">
      <c r="A54" s="1544" t="s">
        <v>442</v>
      </c>
      <c r="B54" s="1545"/>
      <c r="C54" s="678"/>
      <c r="D54" s="678">
        <v>19.164</v>
      </c>
      <c r="E54" s="679">
        <f>D54</f>
        <v>19.164</v>
      </c>
    </row>
    <row r="55" spans="1:5" ht="19.5" customHeight="1">
      <c r="A55" s="1544" t="s">
        <v>443</v>
      </c>
      <c r="B55" s="1545"/>
      <c r="C55" s="678"/>
      <c r="D55" s="678">
        <v>5.782</v>
      </c>
      <c r="E55" s="679">
        <f>D55</f>
        <v>5.782</v>
      </c>
    </row>
    <row r="56" spans="1:5" ht="19.5" customHeight="1">
      <c r="A56" s="1544" t="s">
        <v>435</v>
      </c>
      <c r="B56" s="1545"/>
      <c r="C56" s="672"/>
      <c r="D56" s="672">
        <f>D51*D55</f>
        <v>5.782</v>
      </c>
      <c r="E56" s="673">
        <f>E51*E55</f>
        <v>5.782</v>
      </c>
    </row>
    <row r="57" spans="1:5" ht="19.5" customHeight="1" thickBot="1">
      <c r="A57" s="1556" t="s">
        <v>436</v>
      </c>
      <c r="B57" s="1557"/>
      <c r="C57" s="672"/>
      <c r="D57" s="672">
        <f>D51*D53*D54</f>
        <v>689.904</v>
      </c>
      <c r="E57" s="673">
        <f>E51*E53*E54</f>
        <v>689.904</v>
      </c>
    </row>
    <row r="58" spans="1:5" ht="19.5" customHeight="1" thickBot="1">
      <c r="A58" s="1558" t="s">
        <v>448</v>
      </c>
      <c r="B58" s="1559"/>
      <c r="C58" s="689">
        <f>C64+C65</f>
        <v>0</v>
      </c>
      <c r="D58" s="689">
        <f>D64+D65</f>
        <v>638.1940000000001</v>
      </c>
      <c r="E58" s="690">
        <f>E64+E65</f>
        <v>638.1940000000001</v>
      </c>
    </row>
    <row r="59" spans="1:5" ht="19.5" customHeight="1">
      <c r="A59" s="1552" t="s">
        <v>439</v>
      </c>
      <c r="B59" s="1553"/>
      <c r="C59" s="676"/>
      <c r="D59" s="676">
        <v>1</v>
      </c>
      <c r="E59" s="677">
        <v>1</v>
      </c>
    </row>
    <row r="60" spans="1:5" ht="19.5" customHeight="1">
      <c r="A60" s="1544" t="s">
        <v>440</v>
      </c>
      <c r="B60" s="1545"/>
      <c r="C60" s="670"/>
      <c r="D60" s="670">
        <v>33</v>
      </c>
      <c r="E60" s="671">
        <v>33</v>
      </c>
    </row>
    <row r="61" spans="1:5" ht="19.5" customHeight="1">
      <c r="A61" s="1544" t="s">
        <v>441</v>
      </c>
      <c r="B61" s="1545"/>
      <c r="C61" s="670"/>
      <c r="D61" s="670">
        <v>33</v>
      </c>
      <c r="E61" s="671">
        <v>33</v>
      </c>
    </row>
    <row r="62" spans="1:5" ht="19.5" customHeight="1">
      <c r="A62" s="1544" t="s">
        <v>442</v>
      </c>
      <c r="B62" s="1545"/>
      <c r="C62" s="678"/>
      <c r="D62" s="678">
        <v>19.164</v>
      </c>
      <c r="E62" s="679">
        <f>D62</f>
        <v>19.164</v>
      </c>
    </row>
    <row r="63" spans="1:5" ht="19.5" customHeight="1">
      <c r="A63" s="1544" t="s">
        <v>443</v>
      </c>
      <c r="B63" s="1545"/>
      <c r="C63" s="678"/>
      <c r="D63" s="678">
        <v>5.782</v>
      </c>
      <c r="E63" s="679">
        <f>D63</f>
        <v>5.782</v>
      </c>
    </row>
    <row r="64" spans="1:5" ht="19.5" customHeight="1">
      <c r="A64" s="1544" t="s">
        <v>435</v>
      </c>
      <c r="B64" s="1545"/>
      <c r="C64" s="672"/>
      <c r="D64" s="672">
        <f>D59*D63</f>
        <v>5.782</v>
      </c>
      <c r="E64" s="673">
        <f>E59*E63</f>
        <v>5.782</v>
      </c>
    </row>
    <row r="65" spans="1:5" ht="19.5" customHeight="1" thickBot="1">
      <c r="A65" s="1556" t="s">
        <v>436</v>
      </c>
      <c r="B65" s="1557"/>
      <c r="C65" s="672"/>
      <c r="D65" s="672">
        <f>D59*D61*D62</f>
        <v>632.412</v>
      </c>
      <c r="E65" s="673">
        <f>E59*E61*E62</f>
        <v>632.412</v>
      </c>
    </row>
    <row r="66" spans="1:5" ht="19.5" customHeight="1" thickBot="1">
      <c r="A66" s="1558" t="s">
        <v>449</v>
      </c>
      <c r="B66" s="1559"/>
      <c r="C66" s="689">
        <f>C72+C73</f>
        <v>0</v>
      </c>
      <c r="D66" s="689">
        <f>D72+D73</f>
        <v>580.7020000000001</v>
      </c>
      <c r="E66" s="690">
        <f>E72+E73</f>
        <v>580.7020000000001</v>
      </c>
    </row>
    <row r="67" spans="1:5" ht="19.5" customHeight="1">
      <c r="A67" s="1552" t="s">
        <v>439</v>
      </c>
      <c r="B67" s="1553"/>
      <c r="C67" s="676"/>
      <c r="D67" s="676">
        <v>1</v>
      </c>
      <c r="E67" s="677">
        <v>1</v>
      </c>
    </row>
    <row r="68" spans="1:5" ht="19.5" customHeight="1">
      <c r="A68" s="1544" t="s">
        <v>440</v>
      </c>
      <c r="B68" s="1545"/>
      <c r="C68" s="670"/>
      <c r="D68" s="670">
        <v>15</v>
      </c>
      <c r="E68" s="671">
        <v>15</v>
      </c>
    </row>
    <row r="69" spans="1:5" ht="19.5" customHeight="1">
      <c r="A69" s="1544" t="s">
        <v>441</v>
      </c>
      <c r="B69" s="1545"/>
      <c r="C69" s="670"/>
      <c r="D69" s="670">
        <v>30</v>
      </c>
      <c r="E69" s="671">
        <v>30</v>
      </c>
    </row>
    <row r="70" spans="1:5" ht="19.5" customHeight="1">
      <c r="A70" s="1544" t="s">
        <v>442</v>
      </c>
      <c r="B70" s="1545"/>
      <c r="C70" s="678"/>
      <c r="D70" s="678">
        <v>19.164</v>
      </c>
      <c r="E70" s="679">
        <f>D70</f>
        <v>19.164</v>
      </c>
    </row>
    <row r="71" spans="1:5" ht="19.5" customHeight="1">
      <c r="A71" s="1544" t="s">
        <v>443</v>
      </c>
      <c r="B71" s="1545"/>
      <c r="C71" s="678"/>
      <c r="D71" s="678">
        <v>5.782</v>
      </c>
      <c r="E71" s="679">
        <f>D71</f>
        <v>5.782</v>
      </c>
    </row>
    <row r="72" spans="1:5" ht="19.5" customHeight="1">
      <c r="A72" s="1544" t="s">
        <v>435</v>
      </c>
      <c r="B72" s="1545"/>
      <c r="C72" s="672"/>
      <c r="D72" s="672">
        <f>D67*D71</f>
        <v>5.782</v>
      </c>
      <c r="E72" s="673">
        <f>E67*E71</f>
        <v>5.782</v>
      </c>
    </row>
    <row r="73" spans="1:5" ht="19.5" customHeight="1" thickBot="1">
      <c r="A73" s="1556" t="s">
        <v>436</v>
      </c>
      <c r="B73" s="1557"/>
      <c r="C73" s="672"/>
      <c r="D73" s="672">
        <f>D67*D69*D70</f>
        <v>574.9200000000001</v>
      </c>
      <c r="E73" s="673">
        <f>E67*E69*E70</f>
        <v>574.9200000000001</v>
      </c>
    </row>
    <row r="74" spans="1:5" ht="19.5" customHeight="1" thickBot="1">
      <c r="A74" s="1558" t="s">
        <v>450</v>
      </c>
      <c r="B74" s="1559"/>
      <c r="C74" s="689">
        <f>C80+C81</f>
        <v>551.446</v>
      </c>
      <c r="D74" s="689">
        <f>D80+D81</f>
        <v>580.7020000000001</v>
      </c>
      <c r="E74" s="690">
        <f>E80+E81</f>
        <v>580.7020000000001</v>
      </c>
    </row>
    <row r="75" spans="1:5" ht="19.5" customHeight="1">
      <c r="A75" s="1552" t="s">
        <v>439</v>
      </c>
      <c r="B75" s="1553"/>
      <c r="C75" s="676">
        <v>1</v>
      </c>
      <c r="D75" s="676">
        <v>1</v>
      </c>
      <c r="E75" s="677">
        <v>1</v>
      </c>
    </row>
    <row r="76" spans="1:5" ht="19.5" customHeight="1">
      <c r="A76" s="1544" t="s">
        <v>440</v>
      </c>
      <c r="B76" s="1545"/>
      <c r="C76" s="670">
        <v>13</v>
      </c>
      <c r="D76" s="670">
        <v>15</v>
      </c>
      <c r="E76" s="671">
        <v>15</v>
      </c>
    </row>
    <row r="77" spans="1:5" ht="19.5" customHeight="1">
      <c r="A77" s="1544" t="s">
        <v>441</v>
      </c>
      <c r="B77" s="1545"/>
      <c r="C77" s="670">
        <v>30</v>
      </c>
      <c r="D77" s="670">
        <v>30</v>
      </c>
      <c r="E77" s="671">
        <v>30</v>
      </c>
    </row>
    <row r="78" spans="1:5" ht="19.5" customHeight="1">
      <c r="A78" s="1544" t="s">
        <v>442</v>
      </c>
      <c r="B78" s="1545"/>
      <c r="C78" s="678">
        <v>18.199</v>
      </c>
      <c r="D78" s="678">
        <v>19.164</v>
      </c>
      <c r="E78" s="679">
        <f>D78</f>
        <v>19.164</v>
      </c>
    </row>
    <row r="79" spans="1:5" ht="19.5" customHeight="1">
      <c r="A79" s="1544" t="s">
        <v>443</v>
      </c>
      <c r="B79" s="1545"/>
      <c r="C79" s="678">
        <v>5.476</v>
      </c>
      <c r="D79" s="678">
        <v>5.782</v>
      </c>
      <c r="E79" s="679">
        <f>D79</f>
        <v>5.782</v>
      </c>
    </row>
    <row r="80" spans="1:5" ht="19.5" customHeight="1">
      <c r="A80" s="1544" t="s">
        <v>435</v>
      </c>
      <c r="B80" s="1545"/>
      <c r="C80" s="672">
        <f>C75*C79</f>
        <v>5.476</v>
      </c>
      <c r="D80" s="672">
        <f>D75*D79</f>
        <v>5.782</v>
      </c>
      <c r="E80" s="673">
        <f>E75*E79</f>
        <v>5.782</v>
      </c>
    </row>
    <row r="81" spans="1:5" ht="19.5" customHeight="1" thickBot="1">
      <c r="A81" s="1556" t="s">
        <v>436</v>
      </c>
      <c r="B81" s="1557"/>
      <c r="C81" s="672">
        <f>C75*C77*C78</f>
        <v>545.97</v>
      </c>
      <c r="D81" s="672">
        <f>D75*D77*D78</f>
        <v>574.9200000000001</v>
      </c>
      <c r="E81" s="673">
        <f>E75*E77*E78</f>
        <v>574.9200000000001</v>
      </c>
    </row>
    <row r="82" spans="1:5" ht="19.5" customHeight="1" thickBot="1">
      <c r="A82" s="1558" t="s">
        <v>451</v>
      </c>
      <c r="B82" s="1559"/>
      <c r="C82" s="689">
        <f>C88+C89</f>
        <v>1321.2800000000002</v>
      </c>
      <c r="D82" s="689">
        <f>D88+D89</f>
        <v>695.686</v>
      </c>
      <c r="E82" s="690">
        <f>E88+E89</f>
        <v>695.686</v>
      </c>
    </row>
    <row r="83" spans="1:5" ht="19.5" customHeight="1">
      <c r="A83" s="1552" t="s">
        <v>439</v>
      </c>
      <c r="B83" s="1553"/>
      <c r="C83" s="676">
        <v>2</v>
      </c>
      <c r="D83" s="676">
        <v>1</v>
      </c>
      <c r="E83" s="677">
        <v>1</v>
      </c>
    </row>
    <row r="84" spans="1:5" ht="19.5" customHeight="1">
      <c r="A84" s="1544" t="s">
        <v>440</v>
      </c>
      <c r="B84" s="1545"/>
      <c r="C84" s="670">
        <v>18</v>
      </c>
      <c r="D84" s="670">
        <v>18</v>
      </c>
      <c r="E84" s="671">
        <v>18</v>
      </c>
    </row>
    <row r="85" spans="1:5" ht="19.5" customHeight="1">
      <c r="A85" s="1544" t="s">
        <v>441</v>
      </c>
      <c r="B85" s="1545"/>
      <c r="C85" s="670">
        <v>36</v>
      </c>
      <c r="D85" s="670">
        <v>36</v>
      </c>
      <c r="E85" s="671">
        <v>36</v>
      </c>
    </row>
    <row r="86" spans="1:5" ht="19.5" customHeight="1">
      <c r="A86" s="1544" t="s">
        <v>442</v>
      </c>
      <c r="B86" s="1545"/>
      <c r="C86" s="678">
        <v>18.199</v>
      </c>
      <c r="D86" s="678">
        <v>19.164</v>
      </c>
      <c r="E86" s="679">
        <f>D86</f>
        <v>19.164</v>
      </c>
    </row>
    <row r="87" spans="1:5" ht="19.5" customHeight="1">
      <c r="A87" s="1544" t="s">
        <v>443</v>
      </c>
      <c r="B87" s="1545"/>
      <c r="C87" s="678">
        <v>5.476</v>
      </c>
      <c r="D87" s="678">
        <v>5.782</v>
      </c>
      <c r="E87" s="679">
        <f>D87</f>
        <v>5.782</v>
      </c>
    </row>
    <row r="88" spans="1:5" ht="19.5" customHeight="1">
      <c r="A88" s="1556" t="s">
        <v>435</v>
      </c>
      <c r="B88" s="1557"/>
      <c r="C88" s="674">
        <f>C83*C87</f>
        <v>10.952</v>
      </c>
      <c r="D88" s="674">
        <f>D83*D87</f>
        <v>5.782</v>
      </c>
      <c r="E88" s="675">
        <f>E83*E87</f>
        <v>5.782</v>
      </c>
    </row>
    <row r="89" spans="1:5" ht="21" customHeight="1" thickBot="1">
      <c r="A89" s="1560" t="s">
        <v>436</v>
      </c>
      <c r="B89" s="1561"/>
      <c r="C89" s="682">
        <f>C83*C85*C86</f>
        <v>1310.3280000000002</v>
      </c>
      <c r="D89" s="682">
        <f>D83*D85*D86</f>
        <v>689.904</v>
      </c>
      <c r="E89" s="683">
        <f>E83*E85*E86</f>
        <v>689.904</v>
      </c>
    </row>
    <row r="90" spans="1:5" ht="15.75">
      <c r="A90" s="684"/>
      <c r="B90" s="684"/>
      <c r="C90" s="144"/>
      <c r="D90" s="144"/>
      <c r="E90" s="144"/>
    </row>
    <row r="91" spans="1:5" ht="61.5" customHeight="1">
      <c r="A91" s="1539" t="s">
        <v>459</v>
      </c>
      <c r="B91" s="1539"/>
      <c r="C91" s="1539"/>
      <c r="D91" s="1539"/>
      <c r="E91" s="1539"/>
    </row>
    <row r="92" spans="1:5" ht="16.5" thickBot="1">
      <c r="A92" s="602"/>
      <c r="E92" s="691" t="s">
        <v>175</v>
      </c>
    </row>
    <row r="93" spans="1:5" ht="24" customHeight="1" thickBot="1">
      <c r="A93" s="1540" t="s">
        <v>432</v>
      </c>
      <c r="B93" s="1541"/>
      <c r="C93" s="666" t="s">
        <v>131</v>
      </c>
      <c r="D93" s="666" t="s">
        <v>132</v>
      </c>
      <c r="E93" s="667" t="s">
        <v>159</v>
      </c>
    </row>
    <row r="94" spans="1:5" ht="26.25" customHeight="1" thickBot="1">
      <c r="A94" s="1542" t="s">
        <v>433</v>
      </c>
      <c r="B94" s="1543"/>
      <c r="C94" s="685">
        <f>C97+C98</f>
        <v>6694.664000000001</v>
      </c>
      <c r="D94" s="685">
        <f>D97+D98</f>
        <v>6843.248</v>
      </c>
      <c r="E94" s="686">
        <f>E97+E98</f>
        <v>6762.548</v>
      </c>
    </row>
    <row r="95" spans="1:5" ht="15.75">
      <c r="A95" s="1546" t="s">
        <v>38</v>
      </c>
      <c r="B95" s="1547"/>
      <c r="C95" s="668"/>
      <c r="D95" s="668"/>
      <c r="E95" s="669"/>
    </row>
    <row r="96" spans="1:5" ht="15.75">
      <c r="A96" s="1548" t="s">
        <v>434</v>
      </c>
      <c r="B96" s="1549"/>
      <c r="C96" s="670">
        <f>C101</f>
        <v>4</v>
      </c>
      <c r="D96" s="670">
        <f>D101</f>
        <v>4</v>
      </c>
      <c r="E96" s="671">
        <f>E101</f>
        <v>4</v>
      </c>
    </row>
    <row r="97" spans="1:5" ht="15.75">
      <c r="A97" s="1548" t="s">
        <v>435</v>
      </c>
      <c r="B97" s="1549"/>
      <c r="C97" s="672">
        <f aca="true" t="shared" si="1" ref="C97:E98">C106</f>
        <v>21.904</v>
      </c>
      <c r="D97" s="672">
        <f t="shared" si="1"/>
        <v>23.128</v>
      </c>
      <c r="E97" s="673">
        <f t="shared" si="1"/>
        <v>23.128</v>
      </c>
    </row>
    <row r="98" spans="1:5" ht="15.75">
      <c r="A98" s="1548" t="s">
        <v>436</v>
      </c>
      <c r="B98" s="1549"/>
      <c r="C98" s="672">
        <f t="shared" si="1"/>
        <v>6672.76</v>
      </c>
      <c r="D98" s="672">
        <f t="shared" si="1"/>
        <v>6820.12</v>
      </c>
      <c r="E98" s="673">
        <f t="shared" si="1"/>
        <v>6739.42</v>
      </c>
    </row>
    <row r="99" spans="1:5" ht="16.5" customHeight="1" thickBot="1">
      <c r="A99" s="1564" t="s">
        <v>437</v>
      </c>
      <c r="B99" s="1565"/>
      <c r="C99" s="1565"/>
      <c r="D99" s="1565"/>
      <c r="E99" s="1566"/>
    </row>
    <row r="100" spans="1:5" ht="19.5" customHeight="1" thickBot="1">
      <c r="A100" s="1558" t="s">
        <v>457</v>
      </c>
      <c r="B100" s="1559"/>
      <c r="C100" s="689">
        <f>C106+C107</f>
        <v>6694.664000000001</v>
      </c>
      <c r="D100" s="689">
        <f>D106+D107</f>
        <v>6843.248</v>
      </c>
      <c r="E100" s="690">
        <f>E106+E107</f>
        <v>6762.548</v>
      </c>
    </row>
    <row r="101" spans="1:5" ht="15.75">
      <c r="A101" s="1552" t="s">
        <v>439</v>
      </c>
      <c r="B101" s="1553"/>
      <c r="C101" s="676">
        <v>4</v>
      </c>
      <c r="D101" s="676">
        <v>4</v>
      </c>
      <c r="E101" s="677">
        <v>4</v>
      </c>
    </row>
    <row r="102" spans="1:5" ht="15.75">
      <c r="A102" s="1544" t="s">
        <v>440</v>
      </c>
      <c r="B102" s="1545"/>
      <c r="C102" s="670">
        <v>15</v>
      </c>
      <c r="D102" s="670">
        <v>15</v>
      </c>
      <c r="E102" s="671">
        <v>15</v>
      </c>
    </row>
    <row r="103" spans="1:5" ht="15.75">
      <c r="A103" s="1544" t="s">
        <v>441</v>
      </c>
      <c r="B103" s="1545"/>
      <c r="C103" s="670">
        <v>30</v>
      </c>
      <c r="D103" s="670">
        <v>30</v>
      </c>
      <c r="E103" s="671">
        <v>30</v>
      </c>
    </row>
    <row r="104" spans="1:5" ht="15.75">
      <c r="A104" s="1544" t="s">
        <v>442</v>
      </c>
      <c r="B104" s="1545"/>
      <c r="C104" s="678">
        <v>54.598</v>
      </c>
      <c r="D104" s="678">
        <v>56.891</v>
      </c>
      <c r="E104" s="679">
        <v>56.891</v>
      </c>
    </row>
    <row r="105" spans="1:5" ht="15.75">
      <c r="A105" s="1544" t="s">
        <v>443</v>
      </c>
      <c r="B105" s="1545"/>
      <c r="C105" s="678">
        <v>5.476</v>
      </c>
      <c r="D105" s="678">
        <v>5.782</v>
      </c>
      <c r="E105" s="679">
        <v>5.782</v>
      </c>
    </row>
    <row r="106" spans="1:5" ht="15.75">
      <c r="A106" s="1544" t="s">
        <v>435</v>
      </c>
      <c r="B106" s="1545"/>
      <c r="C106" s="672">
        <f>C101*C105</f>
        <v>21.904</v>
      </c>
      <c r="D106" s="672">
        <f>D101*D105</f>
        <v>23.128</v>
      </c>
      <c r="E106" s="673">
        <f>E101*E105</f>
        <v>23.128</v>
      </c>
    </row>
    <row r="107" spans="1:5" ht="16.5" thickBot="1">
      <c r="A107" s="1562" t="s">
        <v>436</v>
      </c>
      <c r="B107" s="1563"/>
      <c r="C107" s="682">
        <f>C101*C103*C104+121</f>
        <v>6672.76</v>
      </c>
      <c r="D107" s="682">
        <f>D101*D103*D104-6.8</f>
        <v>6820.12</v>
      </c>
      <c r="E107" s="683">
        <f>E101*E103*E104-87.5</f>
        <v>6739.42</v>
      </c>
    </row>
  </sheetData>
  <sheetProtection/>
  <mergeCells count="103">
    <mergeCell ref="A107:B107"/>
    <mergeCell ref="A12:E12"/>
    <mergeCell ref="A99:E99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100:B100"/>
    <mergeCell ref="A87:B87"/>
    <mergeCell ref="A88:B88"/>
    <mergeCell ref="A89:B89"/>
    <mergeCell ref="A91:E91"/>
    <mergeCell ref="A93:B93"/>
    <mergeCell ref="A94:B94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42:B42"/>
    <mergeCell ref="A43:B43"/>
    <mergeCell ref="A44:B44"/>
    <mergeCell ref="A41:B41"/>
    <mergeCell ref="A36:B36"/>
    <mergeCell ref="A37:B37"/>
    <mergeCell ref="A38:B38"/>
    <mergeCell ref="A40:B40"/>
    <mergeCell ref="A25:B25"/>
    <mergeCell ref="A34:B34"/>
    <mergeCell ref="A26:B26"/>
    <mergeCell ref="A27:B27"/>
    <mergeCell ref="A28:B28"/>
    <mergeCell ref="A32:B32"/>
    <mergeCell ref="A33:B33"/>
    <mergeCell ref="A20:B20"/>
    <mergeCell ref="A39:B39"/>
    <mergeCell ref="A29:B29"/>
    <mergeCell ref="A30:B30"/>
    <mergeCell ref="A35:B35"/>
    <mergeCell ref="A31:B31"/>
    <mergeCell ref="A21:B21"/>
    <mergeCell ref="A22:B22"/>
    <mergeCell ref="A23:B23"/>
    <mergeCell ref="A24:B24"/>
    <mergeCell ref="A16:B16"/>
    <mergeCell ref="A13:B13"/>
    <mergeCell ref="A14:B14"/>
    <mergeCell ref="A17:B17"/>
    <mergeCell ref="A18:B18"/>
    <mergeCell ref="A19:B19"/>
    <mergeCell ref="A1:E1"/>
    <mergeCell ref="A2:E2"/>
    <mergeCell ref="A4:E4"/>
    <mergeCell ref="A6:B6"/>
    <mergeCell ref="A7:B7"/>
    <mergeCell ref="A15:B15"/>
    <mergeCell ref="A8:B8"/>
    <mergeCell ref="A9:B9"/>
    <mergeCell ref="A10:B10"/>
    <mergeCell ref="A11:B11"/>
  </mergeCells>
  <printOptions/>
  <pageMargins left="0.7086614173228347" right="0.2755905511811024" top="0.7480314960629921" bottom="0.4724409448818898" header="0.31496062992125984" footer="0.31496062992125984"/>
  <pageSetup fitToHeight="0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32">
      <selection activeCell="F60" sqref="F60"/>
    </sheetView>
  </sheetViews>
  <sheetFormatPr defaultColWidth="9.00390625" defaultRowHeight="12.75"/>
  <cols>
    <col min="1" max="1" width="36.75390625" style="0" customWidth="1"/>
    <col min="2" max="2" width="14.375" style="0" customWidth="1"/>
    <col min="3" max="3" width="14.25390625" style="0" customWidth="1"/>
    <col min="4" max="4" width="13.75390625" style="0" customWidth="1"/>
    <col min="5" max="5" width="12.75390625" style="0" customWidth="1"/>
  </cols>
  <sheetData>
    <row r="1" spans="1:5" ht="15.75">
      <c r="A1" s="1567" t="s">
        <v>454</v>
      </c>
      <c r="B1" s="1567"/>
      <c r="C1" s="1567"/>
      <c r="D1" s="1567"/>
      <c r="E1" s="1567"/>
    </row>
    <row r="2" spans="1:5" ht="32.25" customHeight="1">
      <c r="A2" s="1539" t="s">
        <v>461</v>
      </c>
      <c r="B2" s="1539"/>
      <c r="C2" s="1539"/>
      <c r="D2" s="1539"/>
      <c r="E2" s="1539"/>
    </row>
    <row r="3" spans="1:5" ht="11.25" customHeight="1">
      <c r="A3" s="665"/>
      <c r="B3" s="665"/>
      <c r="C3" s="665"/>
      <c r="D3" s="665"/>
      <c r="E3" s="665"/>
    </row>
    <row r="4" spans="1:5" ht="45" customHeight="1">
      <c r="A4" s="1568" t="s">
        <v>462</v>
      </c>
      <c r="B4" s="1568"/>
      <c r="C4" s="1568"/>
      <c r="D4" s="1568"/>
      <c r="E4" s="1568"/>
    </row>
    <row r="5" ht="16.5" thickBot="1">
      <c r="E5" s="691" t="s">
        <v>175</v>
      </c>
    </row>
    <row r="6" spans="1:5" ht="22.5" customHeight="1" thickBot="1">
      <c r="A6" s="1540" t="s">
        <v>432</v>
      </c>
      <c r="B6" s="1541"/>
      <c r="C6" s="666">
        <v>2015</v>
      </c>
      <c r="D6" s="666">
        <v>2016</v>
      </c>
      <c r="E6" s="667">
        <v>2017</v>
      </c>
    </row>
    <row r="7" spans="1:5" ht="24.75" customHeight="1" thickBot="1">
      <c r="A7" s="1542" t="s">
        <v>433</v>
      </c>
      <c r="B7" s="1543"/>
      <c r="C7" s="685">
        <v>24127.2</v>
      </c>
      <c r="D7" s="685">
        <f>D13+D26+D34+D42</f>
        <v>23318.976000000002</v>
      </c>
      <c r="E7" s="686">
        <f>E13+E26+E34+E42</f>
        <v>23318.976000000002</v>
      </c>
    </row>
    <row r="8" spans="1:5" ht="19.5" customHeight="1">
      <c r="A8" s="1546" t="s">
        <v>38</v>
      </c>
      <c r="B8" s="1547"/>
      <c r="C8" s="668"/>
      <c r="D8" s="668"/>
      <c r="E8" s="669"/>
    </row>
    <row r="9" spans="1:5" ht="19.5" customHeight="1">
      <c r="A9" s="1548" t="s">
        <v>460</v>
      </c>
      <c r="B9" s="1549"/>
      <c r="C9" s="670">
        <v>19</v>
      </c>
      <c r="D9" s="670">
        <v>16</v>
      </c>
      <c r="E9" s="671">
        <v>16</v>
      </c>
    </row>
    <row r="10" spans="1:5" ht="19.5" customHeight="1">
      <c r="A10" s="1548" t="s">
        <v>435</v>
      </c>
      <c r="B10" s="1549"/>
      <c r="C10" s="672">
        <v>104.1</v>
      </c>
      <c r="D10" s="672">
        <v>92.6</v>
      </c>
      <c r="E10" s="673">
        <v>92.6</v>
      </c>
    </row>
    <row r="11" spans="1:5" ht="19.5" customHeight="1">
      <c r="A11" s="1548" t="s">
        <v>436</v>
      </c>
      <c r="B11" s="1549"/>
      <c r="C11" s="672">
        <v>24023.1</v>
      </c>
      <c r="D11" s="672">
        <v>23226.4</v>
      </c>
      <c r="E11" s="673">
        <v>23226.4</v>
      </c>
    </row>
    <row r="12" spans="1:5" ht="19.5" customHeight="1" thickBot="1">
      <c r="A12" s="1564" t="s">
        <v>437</v>
      </c>
      <c r="B12" s="1565"/>
      <c r="C12" s="1565"/>
      <c r="D12" s="1565"/>
      <c r="E12" s="1566"/>
    </row>
    <row r="13" spans="1:5" ht="19.5" customHeight="1" thickBot="1">
      <c r="A13" s="1558" t="s">
        <v>438</v>
      </c>
      <c r="B13" s="1559"/>
      <c r="C13" s="689">
        <f>C19+C20</f>
        <v>19720.992</v>
      </c>
      <c r="D13" s="689">
        <v>20766.2</v>
      </c>
      <c r="E13" s="690">
        <v>20766.2</v>
      </c>
    </row>
    <row r="14" spans="1:5" ht="19.5" customHeight="1">
      <c r="A14" s="1548" t="s">
        <v>460</v>
      </c>
      <c r="B14" s="1549"/>
      <c r="C14" s="676">
        <v>12</v>
      </c>
      <c r="D14" s="676">
        <v>12</v>
      </c>
      <c r="E14" s="677">
        <v>12</v>
      </c>
    </row>
    <row r="15" spans="1:5" ht="19.5" customHeight="1">
      <c r="A15" s="1544" t="s">
        <v>440</v>
      </c>
      <c r="B15" s="1545"/>
      <c r="C15" s="670">
        <v>15</v>
      </c>
      <c r="D15" s="670">
        <v>15</v>
      </c>
      <c r="E15" s="671">
        <v>15</v>
      </c>
    </row>
    <row r="16" spans="1:5" ht="19.5" customHeight="1">
      <c r="A16" s="1544" t="s">
        <v>441</v>
      </c>
      <c r="B16" s="1545"/>
      <c r="C16" s="670">
        <v>30</v>
      </c>
      <c r="D16" s="670">
        <v>30</v>
      </c>
      <c r="E16" s="671">
        <v>30</v>
      </c>
    </row>
    <row r="17" spans="1:5" ht="19.5" customHeight="1">
      <c r="A17" s="1544" t="s">
        <v>442</v>
      </c>
      <c r="B17" s="1545"/>
      <c r="C17" s="678">
        <v>54.598</v>
      </c>
      <c r="D17" s="678">
        <v>57.491</v>
      </c>
      <c r="E17" s="679">
        <v>57.491</v>
      </c>
    </row>
    <row r="18" spans="1:5" ht="19.5" customHeight="1">
      <c r="A18" s="1544" t="s">
        <v>443</v>
      </c>
      <c r="B18" s="1545"/>
      <c r="C18" s="678">
        <v>5.476</v>
      </c>
      <c r="D18" s="678">
        <v>5.782</v>
      </c>
      <c r="E18" s="679">
        <v>5.782</v>
      </c>
    </row>
    <row r="19" spans="1:5" ht="19.5" customHeight="1">
      <c r="A19" s="1544" t="s">
        <v>435</v>
      </c>
      <c r="B19" s="1545"/>
      <c r="C19" s="672">
        <f>C14*C18</f>
        <v>65.712</v>
      </c>
      <c r="D19" s="672">
        <f>D14*D18</f>
        <v>69.384</v>
      </c>
      <c r="E19" s="673">
        <f>E14*E18</f>
        <v>69.384</v>
      </c>
    </row>
    <row r="20" spans="1:5" ht="19.5" customHeight="1" thickBot="1">
      <c r="A20" s="1544" t="s">
        <v>436</v>
      </c>
      <c r="B20" s="1545"/>
      <c r="C20" s="672">
        <f>C14*C16*C17</f>
        <v>19655.28</v>
      </c>
      <c r="D20" s="672">
        <f>D14*D16*D17</f>
        <v>20696.76</v>
      </c>
      <c r="E20" s="673">
        <f>E14*E16*E17</f>
        <v>20696.76</v>
      </c>
    </row>
    <row r="21" spans="1:5" ht="19.5" customHeight="1" hidden="1">
      <c r="A21" s="1554" t="s">
        <v>444</v>
      </c>
      <c r="B21" s="1555"/>
      <c r="C21" s="680" t="e">
        <f>C23+C24</f>
        <v>#REF!</v>
      </c>
      <c r="D21" s="680" t="e">
        <f>D23+D24</f>
        <v>#REF!</v>
      </c>
      <c r="E21" s="681" t="e">
        <f>E23+E24</f>
        <v>#REF!</v>
      </c>
    </row>
    <row r="22" spans="1:5" ht="19.5" customHeight="1" hidden="1">
      <c r="A22" s="1544" t="s">
        <v>439</v>
      </c>
      <c r="B22" s="1545"/>
      <c r="C22" s="672" t="e">
        <f>#REF!+#REF!+C27+#REF!+#REF!+#REF!+C35+C43</f>
        <v>#REF!</v>
      </c>
      <c r="D22" s="672" t="e">
        <f>#REF!+#REF!+D27+#REF!+#REF!+#REF!+D35+D43</f>
        <v>#REF!</v>
      </c>
      <c r="E22" s="673" t="e">
        <f>#REF!+#REF!+E27+#REF!+#REF!+#REF!+E35+E43</f>
        <v>#REF!</v>
      </c>
    </row>
    <row r="23" spans="1:5" ht="19.5" customHeight="1" hidden="1">
      <c r="A23" s="1544" t="s">
        <v>435</v>
      </c>
      <c r="B23" s="1545"/>
      <c r="C23" s="672" t="e">
        <f>#REF!+#REF!+C32+#REF!+#REF!+#REF!+C40+C48</f>
        <v>#REF!</v>
      </c>
      <c r="D23" s="672" t="e">
        <f>#REF!+#REF!+D32+#REF!+#REF!+#REF!+D40+D48</f>
        <v>#REF!</v>
      </c>
      <c r="E23" s="673" t="e">
        <f>#REF!+#REF!+E32+#REF!+#REF!+#REF!+E40+E48</f>
        <v>#REF!</v>
      </c>
    </row>
    <row r="24" spans="1:5" ht="19.5" customHeight="1" hidden="1">
      <c r="A24" s="1544" t="s">
        <v>436</v>
      </c>
      <c r="B24" s="1545"/>
      <c r="C24" s="672" t="e">
        <f>#REF!+#REF!+C33+#REF!+#REF!+#REF!+C41+C49</f>
        <v>#REF!</v>
      </c>
      <c r="D24" s="672" t="e">
        <f>#REF!+#REF!+D33+#REF!+#REF!+#REF!+D41+D49</f>
        <v>#REF!</v>
      </c>
      <c r="E24" s="673" t="e">
        <f>#REF!+#REF!+E33+#REF!+#REF!+#REF!+E41+E49</f>
        <v>#REF!</v>
      </c>
    </row>
    <row r="25" spans="1:5" ht="19.5" customHeight="1" hidden="1" thickBot="1">
      <c r="A25" s="1556" t="s">
        <v>38</v>
      </c>
      <c r="B25" s="1557"/>
      <c r="C25" s="674"/>
      <c r="D25" s="674"/>
      <c r="E25" s="675"/>
    </row>
    <row r="26" spans="1:5" ht="19.5" customHeight="1" thickBot="1">
      <c r="A26" s="1558" t="s">
        <v>446</v>
      </c>
      <c r="B26" s="1559"/>
      <c r="C26" s="689">
        <f>C32+C33</f>
        <v>2642.5600000000004</v>
      </c>
      <c r="D26" s="689">
        <f>D32+D33</f>
        <v>695.686</v>
      </c>
      <c r="E26" s="690">
        <f>E32+E33</f>
        <v>695.686</v>
      </c>
    </row>
    <row r="27" spans="1:5" ht="19.5" customHeight="1">
      <c r="A27" s="1548" t="s">
        <v>460</v>
      </c>
      <c r="B27" s="1549"/>
      <c r="C27" s="676">
        <v>4</v>
      </c>
      <c r="D27" s="676">
        <v>1</v>
      </c>
      <c r="E27" s="677">
        <v>1</v>
      </c>
    </row>
    <row r="28" spans="1:5" ht="19.5" customHeight="1">
      <c r="A28" s="1544" t="s">
        <v>440</v>
      </c>
      <c r="B28" s="1545"/>
      <c r="C28" s="670">
        <v>18</v>
      </c>
      <c r="D28" s="670">
        <v>18</v>
      </c>
      <c r="E28" s="671">
        <v>18</v>
      </c>
    </row>
    <row r="29" spans="1:5" ht="19.5" customHeight="1">
      <c r="A29" s="1544" t="s">
        <v>441</v>
      </c>
      <c r="B29" s="1545"/>
      <c r="C29" s="670">
        <v>36</v>
      </c>
      <c r="D29" s="670">
        <v>36</v>
      </c>
      <c r="E29" s="671">
        <v>36</v>
      </c>
    </row>
    <row r="30" spans="1:5" ht="19.5" customHeight="1">
      <c r="A30" s="1544" t="s">
        <v>442</v>
      </c>
      <c r="B30" s="1545"/>
      <c r="C30" s="678">
        <v>18.199</v>
      </c>
      <c r="D30" s="678">
        <v>19.164</v>
      </c>
      <c r="E30" s="679">
        <v>19.164</v>
      </c>
    </row>
    <row r="31" spans="1:5" ht="19.5" customHeight="1">
      <c r="A31" s="1544" t="s">
        <v>443</v>
      </c>
      <c r="B31" s="1545"/>
      <c r="C31" s="678">
        <v>5.476</v>
      </c>
      <c r="D31" s="678">
        <v>5.782</v>
      </c>
      <c r="E31" s="679">
        <v>5.782</v>
      </c>
    </row>
    <row r="32" spans="1:5" ht="19.5" customHeight="1">
      <c r="A32" s="1544" t="s">
        <v>435</v>
      </c>
      <c r="B32" s="1545"/>
      <c r="C32" s="672">
        <f>C27*C31</f>
        <v>21.904</v>
      </c>
      <c r="D32" s="672">
        <f>D27*D31</f>
        <v>5.782</v>
      </c>
      <c r="E32" s="673">
        <f>E27*E31</f>
        <v>5.782</v>
      </c>
    </row>
    <row r="33" spans="1:5" ht="19.5" customHeight="1" thickBot="1">
      <c r="A33" s="1556" t="s">
        <v>436</v>
      </c>
      <c r="B33" s="1557"/>
      <c r="C33" s="674">
        <f>C27*C29*C30</f>
        <v>2620.6560000000004</v>
      </c>
      <c r="D33" s="674">
        <f>D27*D29*D30</f>
        <v>689.904</v>
      </c>
      <c r="E33" s="675">
        <f>E27*E29*E30</f>
        <v>689.904</v>
      </c>
    </row>
    <row r="34" spans="1:5" ht="19.5" customHeight="1" thickBot="1">
      <c r="A34" s="1558" t="s">
        <v>450</v>
      </c>
      <c r="B34" s="1559"/>
      <c r="C34" s="689">
        <f>C40+C41</f>
        <v>1102.892</v>
      </c>
      <c r="D34" s="689">
        <f>D40+D41</f>
        <v>1161.4040000000002</v>
      </c>
      <c r="E34" s="690">
        <f>E40+E41</f>
        <v>1161.4040000000002</v>
      </c>
    </row>
    <row r="35" spans="1:5" ht="19.5" customHeight="1">
      <c r="A35" s="1548" t="s">
        <v>460</v>
      </c>
      <c r="B35" s="1549"/>
      <c r="C35" s="676">
        <v>2</v>
      </c>
      <c r="D35" s="676">
        <v>2</v>
      </c>
      <c r="E35" s="677">
        <v>2</v>
      </c>
    </row>
    <row r="36" spans="1:5" ht="19.5" customHeight="1">
      <c r="A36" s="1544" t="s">
        <v>440</v>
      </c>
      <c r="B36" s="1545"/>
      <c r="C36" s="670">
        <v>15</v>
      </c>
      <c r="D36" s="670">
        <v>15</v>
      </c>
      <c r="E36" s="671">
        <v>15</v>
      </c>
    </row>
    <row r="37" spans="1:5" ht="19.5" customHeight="1">
      <c r="A37" s="1544" t="s">
        <v>441</v>
      </c>
      <c r="B37" s="1545"/>
      <c r="C37" s="670">
        <v>30</v>
      </c>
      <c r="D37" s="670">
        <v>30</v>
      </c>
      <c r="E37" s="671">
        <v>30</v>
      </c>
    </row>
    <row r="38" spans="1:5" ht="19.5" customHeight="1">
      <c r="A38" s="1544" t="s">
        <v>442</v>
      </c>
      <c r="B38" s="1545"/>
      <c r="C38" s="678">
        <v>18.199</v>
      </c>
      <c r="D38" s="678">
        <v>19.164</v>
      </c>
      <c r="E38" s="679">
        <v>19.164</v>
      </c>
    </row>
    <row r="39" spans="1:5" ht="19.5" customHeight="1">
      <c r="A39" s="1544" t="s">
        <v>443</v>
      </c>
      <c r="B39" s="1545"/>
      <c r="C39" s="678">
        <v>5.476</v>
      </c>
      <c r="D39" s="678">
        <v>5.782</v>
      </c>
      <c r="E39" s="679">
        <v>5.782</v>
      </c>
    </row>
    <row r="40" spans="1:5" ht="19.5" customHeight="1">
      <c r="A40" s="1544" t="s">
        <v>435</v>
      </c>
      <c r="B40" s="1545"/>
      <c r="C40" s="672">
        <f>C35*C39</f>
        <v>10.952</v>
      </c>
      <c r="D40" s="672">
        <f>D35*D39</f>
        <v>11.564</v>
      </c>
      <c r="E40" s="673">
        <f>E35*E39</f>
        <v>11.564</v>
      </c>
    </row>
    <row r="41" spans="1:5" ht="19.5" customHeight="1" thickBot="1">
      <c r="A41" s="1556" t="s">
        <v>436</v>
      </c>
      <c r="B41" s="1557"/>
      <c r="C41" s="674">
        <f>C35*C37*C38</f>
        <v>1091.94</v>
      </c>
      <c r="D41" s="674">
        <f>D35*D37*D38</f>
        <v>1149.8400000000001</v>
      </c>
      <c r="E41" s="675">
        <f>E35*E37*E38</f>
        <v>1149.8400000000001</v>
      </c>
    </row>
    <row r="42" spans="1:5" ht="19.5" customHeight="1" thickBot="1">
      <c r="A42" s="1558" t="s">
        <v>451</v>
      </c>
      <c r="B42" s="1559"/>
      <c r="C42" s="689">
        <v>660.7</v>
      </c>
      <c r="D42" s="689">
        <f>D48+D49</f>
        <v>695.686</v>
      </c>
      <c r="E42" s="690">
        <f>E48+E49</f>
        <v>695.686</v>
      </c>
    </row>
    <row r="43" spans="1:5" ht="19.5" customHeight="1">
      <c r="A43" s="1548" t="s">
        <v>460</v>
      </c>
      <c r="B43" s="1549"/>
      <c r="C43" s="676">
        <v>1</v>
      </c>
      <c r="D43" s="676">
        <v>1</v>
      </c>
      <c r="E43" s="677">
        <v>1</v>
      </c>
    </row>
    <row r="44" spans="1:5" ht="19.5" customHeight="1">
      <c r="A44" s="1544" t="s">
        <v>440</v>
      </c>
      <c r="B44" s="1545"/>
      <c r="C44" s="670">
        <v>18</v>
      </c>
      <c r="D44" s="670">
        <v>18</v>
      </c>
      <c r="E44" s="671">
        <v>18</v>
      </c>
    </row>
    <row r="45" spans="1:5" ht="19.5" customHeight="1">
      <c r="A45" s="1544" t="s">
        <v>441</v>
      </c>
      <c r="B45" s="1545"/>
      <c r="C45" s="670">
        <v>36</v>
      </c>
      <c r="D45" s="670">
        <v>36</v>
      </c>
      <c r="E45" s="671">
        <v>36</v>
      </c>
    </row>
    <row r="46" spans="1:5" ht="19.5" customHeight="1">
      <c r="A46" s="1544" t="s">
        <v>442</v>
      </c>
      <c r="B46" s="1545"/>
      <c r="C46" s="678">
        <v>18.199</v>
      </c>
      <c r="D46" s="678">
        <v>19.164</v>
      </c>
      <c r="E46" s="679">
        <v>19.164</v>
      </c>
    </row>
    <row r="47" spans="1:5" ht="19.5" customHeight="1">
      <c r="A47" s="1544" t="s">
        <v>443</v>
      </c>
      <c r="B47" s="1545"/>
      <c r="C47" s="678">
        <v>5.476</v>
      </c>
      <c r="D47" s="678">
        <v>5.782</v>
      </c>
      <c r="E47" s="679">
        <v>5.782</v>
      </c>
    </row>
    <row r="48" spans="1:5" ht="19.5" customHeight="1">
      <c r="A48" s="1544" t="s">
        <v>435</v>
      </c>
      <c r="B48" s="1545"/>
      <c r="C48" s="672">
        <f>C43*C47</f>
        <v>5.476</v>
      </c>
      <c r="D48" s="672">
        <f>D43*D47</f>
        <v>5.782</v>
      </c>
      <c r="E48" s="673">
        <f>E43*E47</f>
        <v>5.782</v>
      </c>
    </row>
    <row r="49" spans="1:5" ht="16.5" thickBot="1">
      <c r="A49" s="1562" t="s">
        <v>436</v>
      </c>
      <c r="B49" s="1563"/>
      <c r="C49" s="682">
        <f>C43*C45*C46</f>
        <v>655.1640000000001</v>
      </c>
      <c r="D49" s="682">
        <f>D43*D45*D46</f>
        <v>689.904</v>
      </c>
      <c r="E49" s="683">
        <f>E43*E45*E46</f>
        <v>689.904</v>
      </c>
    </row>
    <row r="50" spans="1:5" ht="15.75">
      <c r="A50" s="684"/>
      <c r="B50" s="684"/>
      <c r="C50" s="144"/>
      <c r="D50" s="144"/>
      <c r="E50" s="144"/>
    </row>
    <row r="51" spans="1:5" ht="15.75">
      <c r="A51" s="684"/>
      <c r="B51" s="684"/>
      <c r="C51" s="144"/>
      <c r="D51" s="144"/>
      <c r="E51" s="144"/>
    </row>
    <row r="52" ht="15.75">
      <c r="A52" s="602"/>
    </row>
    <row r="53" spans="1:5" ht="15.75">
      <c r="A53" s="602"/>
      <c r="D53" s="1569"/>
      <c r="E53" s="1569"/>
    </row>
    <row r="54" spans="1:5" ht="15.75">
      <c r="A54" s="602"/>
      <c r="D54" s="1569"/>
      <c r="E54" s="1569"/>
    </row>
  </sheetData>
  <sheetProtection/>
  <mergeCells count="49">
    <mergeCell ref="A47:B47"/>
    <mergeCell ref="A48:B48"/>
    <mergeCell ref="A49:B49"/>
    <mergeCell ref="D53:E53"/>
    <mergeCell ref="D54:E54"/>
    <mergeCell ref="A42:B42"/>
    <mergeCell ref="A43:B43"/>
    <mergeCell ref="A44:B44"/>
    <mergeCell ref="A45:B45"/>
    <mergeCell ref="A37:B37"/>
    <mergeCell ref="A38:B38"/>
    <mergeCell ref="A39:B39"/>
    <mergeCell ref="A40:B40"/>
    <mergeCell ref="A46:B46"/>
    <mergeCell ref="A20:B20"/>
    <mergeCell ref="A21:B21"/>
    <mergeCell ref="A22:B22"/>
    <mergeCell ref="A23:B23"/>
    <mergeCell ref="A24:B24"/>
    <mergeCell ref="A36:B36"/>
    <mergeCell ref="A25:B25"/>
    <mergeCell ref="A15:B15"/>
    <mergeCell ref="A12:E12"/>
    <mergeCell ref="A16:B16"/>
    <mergeCell ref="A17:B17"/>
    <mergeCell ref="A18:B18"/>
    <mergeCell ref="A19:B19"/>
    <mergeCell ref="A30:B30"/>
    <mergeCell ref="A31:B31"/>
    <mergeCell ref="A32:B32"/>
    <mergeCell ref="A33:B33"/>
    <mergeCell ref="A34:B34"/>
    <mergeCell ref="A35:B35"/>
    <mergeCell ref="A1:E1"/>
    <mergeCell ref="A2:E2"/>
    <mergeCell ref="A6:B6"/>
    <mergeCell ref="A7:B7"/>
    <mergeCell ref="A8:B8"/>
    <mergeCell ref="A4:E4"/>
    <mergeCell ref="A41:B41"/>
    <mergeCell ref="A26:B26"/>
    <mergeCell ref="A27:B27"/>
    <mergeCell ref="A28:B28"/>
    <mergeCell ref="A29:B29"/>
    <mergeCell ref="A9:B9"/>
    <mergeCell ref="A10:B10"/>
    <mergeCell ref="A11:B11"/>
    <mergeCell ref="A13:B13"/>
    <mergeCell ref="A14:B14"/>
  </mergeCells>
  <printOptions/>
  <pageMargins left="0.7086614173228347" right="0.35433070866141736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zoomScalePageLayoutView="0" workbookViewId="0" topLeftCell="A7">
      <selection activeCell="AA23" sqref="AA23"/>
    </sheetView>
  </sheetViews>
  <sheetFormatPr defaultColWidth="9.00390625" defaultRowHeight="12.75"/>
  <cols>
    <col min="1" max="1" width="28.875" style="0" customWidth="1"/>
    <col min="2" max="2" width="14.375" style="0" customWidth="1"/>
    <col min="3" max="4" width="13.00390625" style="0" hidden="1" customWidth="1"/>
    <col min="5" max="5" width="11.875" style="0" customWidth="1"/>
    <col min="6" max="6" width="12.375" style="0" customWidth="1"/>
    <col min="7" max="7" width="13.75390625" style="0" customWidth="1"/>
    <col min="8" max="8" width="6.625" style="0" customWidth="1"/>
    <col min="9" max="9" width="14.00390625" style="0" customWidth="1"/>
    <col min="10" max="10" width="9.00390625" style="0" hidden="1" customWidth="1"/>
    <col min="11" max="11" width="12.375" style="0" customWidth="1"/>
    <col min="12" max="12" width="14.00390625" style="0" customWidth="1"/>
    <col min="13" max="13" width="13.125" style="0" customWidth="1"/>
    <col min="14" max="14" width="13.75390625" style="0" customWidth="1"/>
    <col min="15" max="15" width="14.375" style="0" customWidth="1"/>
    <col min="16" max="23" width="0" style="0" hidden="1" customWidth="1"/>
  </cols>
  <sheetData>
    <row r="1" spans="1:15" ht="15.75">
      <c r="A1" s="1573" t="s">
        <v>463</v>
      </c>
      <c r="B1" s="1573"/>
      <c r="C1" s="1573"/>
      <c r="D1" s="1573"/>
      <c r="E1" s="1573"/>
      <c r="F1" s="1573"/>
      <c r="G1" s="1573"/>
      <c r="H1" s="1573"/>
      <c r="I1" s="1573"/>
      <c r="J1" s="1573"/>
      <c r="K1" s="1573"/>
      <c r="L1" s="1573"/>
      <c r="M1" s="1573"/>
      <c r="N1" s="1573"/>
      <c r="O1" s="1573"/>
    </row>
    <row r="2" spans="1:15" ht="15.75">
      <c r="A2" s="1573" t="s">
        <v>464</v>
      </c>
      <c r="B2" s="1573"/>
      <c r="C2" s="1573"/>
      <c r="D2" s="1573"/>
      <c r="E2" s="1573"/>
      <c r="F2" s="1573"/>
      <c r="G2" s="1573"/>
      <c r="H2" s="1573"/>
      <c r="I2" s="1573"/>
      <c r="J2" s="1573"/>
      <c r="K2" s="1573"/>
      <c r="L2" s="1573"/>
      <c r="M2" s="1573"/>
      <c r="N2" s="1573"/>
      <c r="O2" s="1573"/>
    </row>
    <row r="3" spans="1:15" ht="15.75">
      <c r="A3" s="1573" t="s">
        <v>465</v>
      </c>
      <c r="B3" s="1573"/>
      <c r="C3" s="1573"/>
      <c r="D3" s="1573"/>
      <c r="E3" s="1573"/>
      <c r="F3" s="1573"/>
      <c r="G3" s="1573"/>
      <c r="H3" s="1573"/>
      <c r="I3" s="1573"/>
      <c r="J3" s="1573"/>
      <c r="K3" s="1573"/>
      <c r="L3" s="1573"/>
      <c r="M3" s="1573"/>
      <c r="N3" s="1573"/>
      <c r="O3" s="1573"/>
    </row>
    <row r="4" spans="1:15" ht="15.75">
      <c r="A4" s="1573" t="s">
        <v>466</v>
      </c>
      <c r="B4" s="1573"/>
      <c r="C4" s="1573"/>
      <c r="D4" s="1573"/>
      <c r="E4" s="1573"/>
      <c r="F4" s="1573"/>
      <c r="G4" s="1573"/>
      <c r="H4" s="1573"/>
      <c r="I4" s="1573"/>
      <c r="J4" s="1573"/>
      <c r="K4" s="1573"/>
      <c r="L4" s="1573"/>
      <c r="M4" s="1573"/>
      <c r="N4" s="1573"/>
      <c r="O4" s="1573"/>
    </row>
    <row r="5" spans="1:15" ht="15.75">
      <c r="A5" s="1573" t="s">
        <v>584</v>
      </c>
      <c r="B5" s="1573"/>
      <c r="C5" s="1573"/>
      <c r="D5" s="1573"/>
      <c r="E5" s="1573"/>
      <c r="F5" s="1573"/>
      <c r="G5" s="1573"/>
      <c r="H5" s="1573"/>
      <c r="I5" s="1573"/>
      <c r="J5" s="1573"/>
      <c r="K5" s="1573"/>
      <c r="L5" s="1573"/>
      <c r="M5" s="1573"/>
      <c r="N5" s="1573"/>
      <c r="O5" s="1573"/>
    </row>
    <row r="6" spans="1:11" ht="12.75">
      <c r="A6" s="692"/>
      <c r="B6" s="692"/>
      <c r="C6" s="692"/>
      <c r="D6" s="692"/>
      <c r="E6" s="692"/>
      <c r="F6" s="692"/>
      <c r="G6" s="692"/>
      <c r="H6" s="692"/>
      <c r="I6" s="692"/>
      <c r="J6" s="692"/>
      <c r="K6" s="692"/>
    </row>
    <row r="8" spans="1:16" ht="33" customHeight="1">
      <c r="A8" s="1574" t="s">
        <v>467</v>
      </c>
      <c r="B8" s="1570" t="s">
        <v>468</v>
      </c>
      <c r="C8" s="1570"/>
      <c r="D8" s="1090"/>
      <c r="E8" s="1570" t="s">
        <v>469</v>
      </c>
      <c r="F8" s="1570" t="s">
        <v>470</v>
      </c>
      <c r="G8" s="1570" t="s">
        <v>471</v>
      </c>
      <c r="H8" s="1570" t="s">
        <v>472</v>
      </c>
      <c r="I8" s="1572" t="s">
        <v>473</v>
      </c>
      <c r="J8" s="1572"/>
      <c r="K8" s="1572"/>
      <c r="L8" s="1572"/>
      <c r="M8" s="1572"/>
      <c r="N8" s="1572"/>
      <c r="O8" s="1572"/>
      <c r="P8" s="97"/>
    </row>
    <row r="9" spans="1:16" ht="135" customHeight="1">
      <c r="A9" s="1575"/>
      <c r="B9" s="1571"/>
      <c r="C9" s="1576"/>
      <c r="D9" s="1091"/>
      <c r="E9" s="1571"/>
      <c r="F9" s="1571"/>
      <c r="G9" s="1571"/>
      <c r="H9" s="1571"/>
      <c r="I9" s="1115" t="s">
        <v>131</v>
      </c>
      <c r="J9" s="693"/>
      <c r="K9" s="693" t="s">
        <v>585</v>
      </c>
      <c r="L9" s="1117" t="s">
        <v>132</v>
      </c>
      <c r="M9" s="693" t="s">
        <v>585</v>
      </c>
      <c r="N9" s="1117" t="s">
        <v>159</v>
      </c>
      <c r="O9" s="693" t="s">
        <v>585</v>
      </c>
      <c r="P9" s="97"/>
    </row>
    <row r="10" spans="1:16" ht="12.75">
      <c r="A10" s="695">
        <v>1</v>
      </c>
      <c r="B10" s="693">
        <v>2</v>
      </c>
      <c r="C10" s="693"/>
      <c r="D10" s="693"/>
      <c r="E10" s="693">
        <v>3</v>
      </c>
      <c r="F10" s="693">
        <v>4</v>
      </c>
      <c r="G10" s="693">
        <v>5</v>
      </c>
      <c r="H10" s="693">
        <v>6</v>
      </c>
      <c r="I10" s="1115">
        <v>7</v>
      </c>
      <c r="J10" s="693"/>
      <c r="K10" s="693"/>
      <c r="L10" s="1117"/>
      <c r="M10" s="694"/>
      <c r="N10" s="1117"/>
      <c r="O10" s="694"/>
      <c r="P10" s="97"/>
    </row>
    <row r="11" spans="1:18" ht="12.75">
      <c r="A11" s="1092" t="s">
        <v>39</v>
      </c>
      <c r="B11" s="1118">
        <v>122</v>
      </c>
      <c r="C11" s="1114">
        <v>441.7</v>
      </c>
      <c r="D11" s="1114"/>
      <c r="E11" s="1119">
        <f>F11/B11</f>
        <v>48.50191706263231</v>
      </c>
      <c r="F11" s="1119">
        <f>I11/G11/H11*1000</f>
        <v>5917.233881641142</v>
      </c>
      <c r="G11" s="1119">
        <v>105.78</v>
      </c>
      <c r="H11" s="1119">
        <v>12</v>
      </c>
      <c r="I11" s="1120">
        <v>7511.1</v>
      </c>
      <c r="J11" s="1119"/>
      <c r="K11" s="1119">
        <v>441.7</v>
      </c>
      <c r="L11" s="1120">
        <v>7969.3</v>
      </c>
      <c r="M11" s="1119">
        <v>468.6</v>
      </c>
      <c r="N11" s="1120">
        <v>8407.6</v>
      </c>
      <c r="O11" s="1119">
        <f>M11*105.5/100</f>
        <v>494.37300000000005</v>
      </c>
      <c r="P11" s="97"/>
      <c r="Q11">
        <v>7511.1</v>
      </c>
      <c r="R11" s="142">
        <f>Q11-I11</f>
        <v>0</v>
      </c>
    </row>
    <row r="12" spans="1:18" ht="12.75">
      <c r="A12" s="1092" t="s">
        <v>479</v>
      </c>
      <c r="B12" s="1118">
        <v>121</v>
      </c>
      <c r="C12" s="1119" t="e">
        <f>#REF!/#REF!*B12</f>
        <v>#REF!</v>
      </c>
      <c r="D12" s="1119" t="e">
        <f>SUM(C12:C30)</f>
        <v>#REF!</v>
      </c>
      <c r="E12" s="1119">
        <f aca="true" t="shared" si="0" ref="E12:E40">F12/B12</f>
        <v>61.40831971842232</v>
      </c>
      <c r="F12" s="1119">
        <f aca="true" t="shared" si="1" ref="F12:F40">I12/G12/H12*1000</f>
        <v>7430.406685929101</v>
      </c>
      <c r="G12" s="1119">
        <v>107.29</v>
      </c>
      <c r="H12" s="1119">
        <v>12</v>
      </c>
      <c r="I12" s="1121">
        <v>9566.5</v>
      </c>
      <c r="J12" s="1118"/>
      <c r="K12" s="1118">
        <v>340.7</v>
      </c>
      <c r="L12" s="1120">
        <v>10150</v>
      </c>
      <c r="M12" s="1119">
        <v>361.5</v>
      </c>
      <c r="N12" s="1120">
        <v>10708.3</v>
      </c>
      <c r="O12" s="1119">
        <f aca="true" t="shared" si="2" ref="O12:O40">M12*105.5/100</f>
        <v>381.3825</v>
      </c>
      <c r="P12" s="97"/>
      <c r="R12" s="142"/>
    </row>
    <row r="13" spans="1:18" ht="12.75">
      <c r="A13" s="1092" t="s">
        <v>501</v>
      </c>
      <c r="B13" s="1118">
        <v>83</v>
      </c>
      <c r="C13" s="1114">
        <v>677.3</v>
      </c>
      <c r="D13" s="1114"/>
      <c r="E13" s="1119">
        <f t="shared" si="0"/>
        <v>39.57144158661448</v>
      </c>
      <c r="F13" s="1119">
        <f t="shared" si="1"/>
        <v>3284.429651689002</v>
      </c>
      <c r="G13" s="1119">
        <v>114.17</v>
      </c>
      <c r="H13" s="1119">
        <v>12</v>
      </c>
      <c r="I13" s="1121">
        <v>4499.8</v>
      </c>
      <c r="J13" s="1118"/>
      <c r="K13" s="1118">
        <v>677.3</v>
      </c>
      <c r="L13" s="1120">
        <v>4774.3</v>
      </c>
      <c r="M13" s="1119">
        <v>718.6</v>
      </c>
      <c r="N13" s="1120">
        <v>5036.9</v>
      </c>
      <c r="O13" s="1119">
        <f t="shared" si="2"/>
        <v>758.123</v>
      </c>
      <c r="P13" s="97"/>
      <c r="Q13">
        <v>4499.8</v>
      </c>
      <c r="R13" s="142">
        <f>Q13-I13</f>
        <v>0</v>
      </c>
    </row>
    <row r="14" spans="1:18" ht="12.75">
      <c r="A14" s="1092" t="s">
        <v>0</v>
      </c>
      <c r="B14" s="1118">
        <v>224</v>
      </c>
      <c r="C14" s="1122" t="e">
        <f>#REF!/#REF!*B14</f>
        <v>#REF!</v>
      </c>
      <c r="D14" s="1119" t="e">
        <f>SUM(C14:C28)</f>
        <v>#REF!</v>
      </c>
      <c r="E14" s="1119">
        <f t="shared" si="0"/>
        <v>48.78521896062539</v>
      </c>
      <c r="F14" s="1119">
        <f t="shared" si="1"/>
        <v>10927.889047180088</v>
      </c>
      <c r="G14" s="1119">
        <v>119.33</v>
      </c>
      <c r="H14" s="1119">
        <v>12</v>
      </c>
      <c r="I14" s="1121">
        <v>15648.3</v>
      </c>
      <c r="J14" s="1118"/>
      <c r="K14" s="1118">
        <v>1120.1</v>
      </c>
      <c r="L14" s="1120">
        <v>16602.8</v>
      </c>
      <c r="M14" s="1119">
        <v>1188.4</v>
      </c>
      <c r="N14" s="1120">
        <v>17515.9</v>
      </c>
      <c r="O14" s="1119">
        <f t="shared" si="2"/>
        <v>1253.7620000000002</v>
      </c>
      <c r="P14" s="696">
        <f>SUM(O14:O28)</f>
        <v>7034.529</v>
      </c>
      <c r="R14" s="142"/>
    </row>
    <row r="15" spans="1:18" ht="12.75">
      <c r="A15" s="1092" t="s">
        <v>1</v>
      </c>
      <c r="B15" s="1118">
        <v>71</v>
      </c>
      <c r="C15" s="1122"/>
      <c r="D15" s="1119"/>
      <c r="E15" s="1119">
        <f t="shared" si="0"/>
        <v>49.889231880934574</v>
      </c>
      <c r="F15" s="1119">
        <f t="shared" si="1"/>
        <v>3542.135463546355</v>
      </c>
      <c r="G15" s="1119">
        <v>88.88</v>
      </c>
      <c r="H15" s="1119">
        <v>12</v>
      </c>
      <c r="I15" s="1121">
        <v>3777.9</v>
      </c>
      <c r="J15" s="1118"/>
      <c r="K15" s="1118">
        <v>281.2</v>
      </c>
      <c r="L15" s="1120">
        <v>4008.3</v>
      </c>
      <c r="M15" s="1119">
        <v>298.4</v>
      </c>
      <c r="N15" s="1120">
        <v>4228.8</v>
      </c>
      <c r="O15" s="1119">
        <f t="shared" si="2"/>
        <v>314.81199999999995</v>
      </c>
      <c r="P15" s="696"/>
      <c r="R15" s="142"/>
    </row>
    <row r="16" spans="1:18" ht="12.75">
      <c r="A16" s="1092" t="s">
        <v>36</v>
      </c>
      <c r="B16" s="1118">
        <v>163</v>
      </c>
      <c r="C16" s="1122"/>
      <c r="D16" s="1119"/>
      <c r="E16" s="1119">
        <f t="shared" si="0"/>
        <v>34.68992272390797</v>
      </c>
      <c r="F16" s="1119">
        <f t="shared" si="1"/>
        <v>5654.457403996999</v>
      </c>
      <c r="G16" s="1119">
        <v>97.74</v>
      </c>
      <c r="H16" s="1119">
        <v>12</v>
      </c>
      <c r="I16" s="1121">
        <v>6632</v>
      </c>
      <c r="J16" s="1118"/>
      <c r="K16" s="1118">
        <v>145</v>
      </c>
      <c r="L16" s="1120">
        <v>7036.5</v>
      </c>
      <c r="M16" s="1119">
        <v>153.8</v>
      </c>
      <c r="N16" s="1120">
        <v>7423.5</v>
      </c>
      <c r="O16" s="1119">
        <f t="shared" si="2"/>
        <v>162.25900000000001</v>
      </c>
      <c r="P16" s="696"/>
      <c r="R16" s="142"/>
    </row>
    <row r="17" spans="1:18" ht="12.75">
      <c r="A17" s="1092" t="s">
        <v>31</v>
      </c>
      <c r="B17" s="1118">
        <v>132</v>
      </c>
      <c r="C17" s="1122"/>
      <c r="D17" s="1119"/>
      <c r="E17" s="1119">
        <f t="shared" si="0"/>
        <v>39.292488410051746</v>
      </c>
      <c r="F17" s="1119">
        <f t="shared" si="1"/>
        <v>5186.60847012683</v>
      </c>
      <c r="G17" s="1119">
        <v>105.39</v>
      </c>
      <c r="H17" s="1119">
        <v>12</v>
      </c>
      <c r="I17" s="1121">
        <v>6559.4</v>
      </c>
      <c r="J17" s="1118"/>
      <c r="K17" s="1118">
        <v>627.9</v>
      </c>
      <c r="L17" s="1120">
        <v>6959.5</v>
      </c>
      <c r="M17" s="1119">
        <v>666.2</v>
      </c>
      <c r="N17" s="1120">
        <v>7342.3</v>
      </c>
      <c r="O17" s="1119">
        <f t="shared" si="2"/>
        <v>702.841</v>
      </c>
      <c r="P17" s="696"/>
      <c r="R17" s="142"/>
    </row>
    <row r="18" spans="1:18" ht="12.75">
      <c r="A18" s="1092" t="s">
        <v>32</v>
      </c>
      <c r="B18" s="1118">
        <v>169</v>
      </c>
      <c r="C18" s="1122"/>
      <c r="D18" s="1119"/>
      <c r="E18" s="1119">
        <f t="shared" si="0"/>
        <v>42.165841546545586</v>
      </c>
      <c r="F18" s="1119">
        <f t="shared" si="1"/>
        <v>7126.027221366204</v>
      </c>
      <c r="G18" s="1119">
        <v>103.84</v>
      </c>
      <c r="H18" s="1119">
        <v>12</v>
      </c>
      <c r="I18" s="1121">
        <v>8879.6</v>
      </c>
      <c r="J18" s="1118"/>
      <c r="K18" s="1118">
        <v>953.3</v>
      </c>
      <c r="L18" s="1120">
        <v>9421.3</v>
      </c>
      <c r="M18" s="1119">
        <v>1011.5</v>
      </c>
      <c r="N18" s="1120">
        <v>9939.5</v>
      </c>
      <c r="O18" s="1119">
        <f t="shared" si="2"/>
        <v>1067.1325</v>
      </c>
      <c r="P18" s="696"/>
      <c r="R18" s="142"/>
    </row>
    <row r="19" spans="1:18" ht="12.75">
      <c r="A19" s="1092" t="s">
        <v>33</v>
      </c>
      <c r="B19" s="1118">
        <v>138</v>
      </c>
      <c r="C19" s="1122"/>
      <c r="D19" s="1119"/>
      <c r="E19" s="1119">
        <f t="shared" si="0"/>
        <v>49.54276308870238</v>
      </c>
      <c r="F19" s="1119">
        <f t="shared" si="1"/>
        <v>6836.9013062409285</v>
      </c>
      <c r="G19" s="1119">
        <v>110.24</v>
      </c>
      <c r="H19" s="1119">
        <v>12</v>
      </c>
      <c r="I19" s="1121">
        <v>9044.4</v>
      </c>
      <c r="J19" s="1118"/>
      <c r="K19" s="1118">
        <v>244.5</v>
      </c>
      <c r="L19" s="1120">
        <v>9596.1</v>
      </c>
      <c r="M19" s="1119">
        <v>259.4</v>
      </c>
      <c r="N19" s="1120">
        <v>10123.9</v>
      </c>
      <c r="O19" s="1119">
        <f t="shared" si="2"/>
        <v>273.667</v>
      </c>
      <c r="P19" s="696"/>
      <c r="R19" s="142"/>
    </row>
    <row r="20" spans="1:18" ht="12.75">
      <c r="A20" s="1092"/>
      <c r="B20" s="1118"/>
      <c r="C20" s="1122"/>
      <c r="D20" s="1119"/>
      <c r="E20" s="1119"/>
      <c r="F20" s="1119"/>
      <c r="G20" s="1119"/>
      <c r="H20" s="1119"/>
      <c r="I20" s="1121"/>
      <c r="J20" s="1118"/>
      <c r="K20" s="1118"/>
      <c r="L20" s="1120"/>
      <c r="M20" s="1119"/>
      <c r="N20" s="1120"/>
      <c r="O20" s="1119"/>
      <c r="P20" s="696"/>
      <c r="R20" s="142"/>
    </row>
    <row r="21" spans="1:18" ht="12.75">
      <c r="A21" s="1092" t="s">
        <v>586</v>
      </c>
      <c r="B21" s="1118">
        <v>9</v>
      </c>
      <c r="C21" s="1122" t="e">
        <f>#REF!/#REF!*B21</f>
        <v>#REF!</v>
      </c>
      <c r="D21" s="1119"/>
      <c r="E21" s="1119">
        <f t="shared" si="0"/>
        <v>52.15074288232756</v>
      </c>
      <c r="F21" s="1119">
        <f t="shared" si="1"/>
        <v>469.35668594094807</v>
      </c>
      <c r="G21" s="1119">
        <v>119.33</v>
      </c>
      <c r="H21" s="1119">
        <v>12</v>
      </c>
      <c r="I21" s="1121">
        <v>672.1</v>
      </c>
      <c r="J21" s="1118"/>
      <c r="K21" s="1118">
        <v>672.1</v>
      </c>
      <c r="L21" s="1120">
        <v>713.1</v>
      </c>
      <c r="M21" s="1119">
        <v>713.1</v>
      </c>
      <c r="N21" s="1120">
        <v>752.3</v>
      </c>
      <c r="O21" s="1119">
        <f t="shared" si="2"/>
        <v>752.3205</v>
      </c>
      <c r="P21" s="97"/>
      <c r="R21" s="142"/>
    </row>
    <row r="22" spans="1:18" ht="12.75">
      <c r="A22" s="1092" t="s">
        <v>587</v>
      </c>
      <c r="B22" s="1118">
        <v>5</v>
      </c>
      <c r="C22" s="1122" t="e">
        <f>#REF!/#REF!*B22</f>
        <v>#REF!</v>
      </c>
      <c r="D22" s="1119"/>
      <c r="E22" s="1119">
        <f t="shared" si="0"/>
        <v>52.15229475683678</v>
      </c>
      <c r="F22" s="1119">
        <f t="shared" si="1"/>
        <v>260.7614737841839</v>
      </c>
      <c r="G22" s="1119">
        <v>119.33</v>
      </c>
      <c r="H22" s="1119">
        <v>12</v>
      </c>
      <c r="I22" s="1121">
        <v>373.4</v>
      </c>
      <c r="J22" s="1118"/>
      <c r="K22" s="1118">
        <v>373.4</v>
      </c>
      <c r="L22" s="1120">
        <v>396.2</v>
      </c>
      <c r="M22" s="1119">
        <v>396.2</v>
      </c>
      <c r="N22" s="1120">
        <v>418</v>
      </c>
      <c r="O22" s="1119">
        <f t="shared" si="2"/>
        <v>417.991</v>
      </c>
      <c r="P22" s="97"/>
      <c r="R22" s="142"/>
    </row>
    <row r="23" spans="1:18" ht="12.75">
      <c r="A23" s="1092" t="s">
        <v>588</v>
      </c>
      <c r="B23" s="1118">
        <v>3</v>
      </c>
      <c r="C23" s="1122" t="e">
        <f>#REF!/#REF!*B23</f>
        <v>#REF!</v>
      </c>
      <c r="D23" s="1119"/>
      <c r="E23" s="1119">
        <f t="shared" si="0"/>
        <v>52.14298350978146</v>
      </c>
      <c r="F23" s="1119">
        <f t="shared" si="1"/>
        <v>156.42895052934438</v>
      </c>
      <c r="G23" s="1119">
        <v>119.33</v>
      </c>
      <c r="H23" s="1119">
        <v>12</v>
      </c>
      <c r="I23" s="1121">
        <v>224</v>
      </c>
      <c r="J23" s="1118"/>
      <c r="K23" s="1118">
        <v>224</v>
      </c>
      <c r="L23" s="1120">
        <v>237.7</v>
      </c>
      <c r="M23" s="1119">
        <v>237.7</v>
      </c>
      <c r="N23" s="1120">
        <v>250.8</v>
      </c>
      <c r="O23" s="1119">
        <f t="shared" si="2"/>
        <v>250.77349999999998</v>
      </c>
      <c r="P23" s="97"/>
      <c r="R23" s="142"/>
    </row>
    <row r="24" spans="1:18" ht="12.75">
      <c r="A24" s="1092" t="s">
        <v>589</v>
      </c>
      <c r="B24" s="1118">
        <v>3</v>
      </c>
      <c r="C24" s="1122" t="e">
        <f>#REF!/#REF!*B24</f>
        <v>#REF!</v>
      </c>
      <c r="D24" s="1119"/>
      <c r="E24" s="1119">
        <f t="shared" si="0"/>
        <v>52.14298350978146</v>
      </c>
      <c r="F24" s="1119">
        <f t="shared" si="1"/>
        <v>156.42895052934438</v>
      </c>
      <c r="G24" s="1119">
        <v>119.33</v>
      </c>
      <c r="H24" s="1119">
        <v>12</v>
      </c>
      <c r="I24" s="1121">
        <v>224</v>
      </c>
      <c r="J24" s="1118"/>
      <c r="K24" s="1118">
        <v>224</v>
      </c>
      <c r="L24" s="1120">
        <v>237.7</v>
      </c>
      <c r="M24" s="1119">
        <v>237.7</v>
      </c>
      <c r="N24" s="1120">
        <v>250.8</v>
      </c>
      <c r="O24" s="1119">
        <f t="shared" si="2"/>
        <v>250.77349999999998</v>
      </c>
      <c r="P24" s="97"/>
      <c r="R24" s="142"/>
    </row>
    <row r="25" spans="1:18" ht="12.75">
      <c r="A25" s="1092" t="s">
        <v>590</v>
      </c>
      <c r="B25" s="1118">
        <v>1</v>
      </c>
      <c r="C25" s="1122" t="e">
        <f>#REF!/#REF!*B25</f>
        <v>#REF!</v>
      </c>
      <c r="D25" s="1119"/>
      <c r="E25" s="1119">
        <f t="shared" si="0"/>
        <v>52.166261627419765</v>
      </c>
      <c r="F25" s="1119">
        <f t="shared" si="1"/>
        <v>52.166261627419765</v>
      </c>
      <c r="G25" s="1119">
        <v>119.33</v>
      </c>
      <c r="H25" s="1119">
        <v>12</v>
      </c>
      <c r="I25" s="1121">
        <v>74.7</v>
      </c>
      <c r="J25" s="1118"/>
      <c r="K25" s="1118">
        <v>74.7</v>
      </c>
      <c r="L25" s="1120">
        <v>79.3</v>
      </c>
      <c r="M25" s="1119">
        <v>79.3</v>
      </c>
      <c r="N25" s="1120">
        <v>83.7</v>
      </c>
      <c r="O25" s="1119">
        <f t="shared" si="2"/>
        <v>83.66149999999999</v>
      </c>
      <c r="P25" s="97"/>
      <c r="R25" s="142"/>
    </row>
    <row r="26" spans="1:18" ht="12.75">
      <c r="A26" s="1092" t="s">
        <v>591</v>
      </c>
      <c r="B26" s="1118">
        <v>3</v>
      </c>
      <c r="C26" s="1122" t="e">
        <f>#REF!/#REF!*B26</f>
        <v>#REF!</v>
      </c>
      <c r="D26" s="1119"/>
      <c r="E26" s="1119">
        <f t="shared" si="0"/>
        <v>52.14298350978146</v>
      </c>
      <c r="F26" s="1119">
        <f t="shared" si="1"/>
        <v>156.42895052934438</v>
      </c>
      <c r="G26" s="1119">
        <v>119.33</v>
      </c>
      <c r="H26" s="1119">
        <v>12</v>
      </c>
      <c r="I26" s="1121">
        <v>224</v>
      </c>
      <c r="J26" s="1118"/>
      <c r="K26" s="1118">
        <v>224</v>
      </c>
      <c r="L26" s="1120">
        <v>237.7</v>
      </c>
      <c r="M26" s="1119">
        <v>237.7</v>
      </c>
      <c r="N26" s="1120">
        <v>250.8</v>
      </c>
      <c r="O26" s="1119">
        <f t="shared" si="2"/>
        <v>250.77349999999998</v>
      </c>
      <c r="P26" s="97"/>
      <c r="R26" s="142"/>
    </row>
    <row r="27" spans="1:18" ht="12.75">
      <c r="A27" s="1092" t="s">
        <v>592</v>
      </c>
      <c r="B27" s="1118">
        <v>10</v>
      </c>
      <c r="C27" s="1122" t="e">
        <f>#REF!/#REF!*B27</f>
        <v>#REF!</v>
      </c>
      <c r="D27" s="1119"/>
      <c r="E27" s="1119">
        <f t="shared" si="0"/>
        <v>52.14531132154529</v>
      </c>
      <c r="F27" s="1119">
        <f t="shared" si="1"/>
        <v>521.453113215453</v>
      </c>
      <c r="G27" s="1119">
        <v>119.33</v>
      </c>
      <c r="H27" s="1119">
        <v>12</v>
      </c>
      <c r="I27" s="1121">
        <v>746.7</v>
      </c>
      <c r="J27" s="1118"/>
      <c r="K27" s="1118">
        <v>746.7</v>
      </c>
      <c r="L27" s="1120">
        <v>792.2</v>
      </c>
      <c r="M27" s="1119">
        <v>792.2</v>
      </c>
      <c r="N27" s="1120">
        <v>835.8</v>
      </c>
      <c r="O27" s="1119">
        <f t="shared" si="2"/>
        <v>835.7710000000001</v>
      </c>
      <c r="P27" s="97"/>
      <c r="R27" s="142"/>
    </row>
    <row r="28" spans="1:18" ht="12.75">
      <c r="A28" s="1092" t="s">
        <v>593</v>
      </c>
      <c r="B28" s="1118">
        <v>5</v>
      </c>
      <c r="C28" s="1122" t="e">
        <f>#REF!/#REF!*B28</f>
        <v>#REF!</v>
      </c>
      <c r="D28" s="1119"/>
      <c r="E28" s="1119">
        <f t="shared" si="0"/>
        <v>52.15229475683678</v>
      </c>
      <c r="F28" s="1119">
        <f t="shared" si="1"/>
        <v>260.7614737841839</v>
      </c>
      <c r="G28" s="1119">
        <v>119.33</v>
      </c>
      <c r="H28" s="1119">
        <v>12</v>
      </c>
      <c r="I28" s="1121">
        <v>373.4</v>
      </c>
      <c r="J28" s="1118"/>
      <c r="K28" s="1118">
        <v>373.4</v>
      </c>
      <c r="L28" s="1120">
        <v>396.2</v>
      </c>
      <c r="M28" s="1119">
        <v>396.2</v>
      </c>
      <c r="N28" s="1120">
        <v>418</v>
      </c>
      <c r="O28" s="1119">
        <f t="shared" si="2"/>
        <v>417.991</v>
      </c>
      <c r="P28" s="97"/>
      <c r="R28" s="142"/>
    </row>
    <row r="29" spans="1:15" ht="12.75">
      <c r="A29" s="1092" t="s">
        <v>594</v>
      </c>
      <c r="B29" s="1123">
        <v>2</v>
      </c>
      <c r="C29" s="1123" t="e">
        <f>#REF!/#REF!*B29</f>
        <v>#REF!</v>
      </c>
      <c r="D29" s="1123"/>
      <c r="E29" s="1119">
        <f t="shared" si="0"/>
        <v>30.906827637951025</v>
      </c>
      <c r="F29" s="1119">
        <f t="shared" si="1"/>
        <v>61.81365527590205</v>
      </c>
      <c r="G29" s="1123">
        <v>97.74</v>
      </c>
      <c r="H29" s="1119">
        <v>12</v>
      </c>
      <c r="I29" s="1121">
        <v>72.5</v>
      </c>
      <c r="J29" s="1123"/>
      <c r="K29" s="1118">
        <v>72.5</v>
      </c>
      <c r="L29" s="1120">
        <v>76.9</v>
      </c>
      <c r="M29" s="1119">
        <v>76.9</v>
      </c>
      <c r="N29" s="1120">
        <v>81.1</v>
      </c>
      <c r="O29" s="1119">
        <f t="shared" si="2"/>
        <v>81.12950000000001</v>
      </c>
    </row>
    <row r="30" spans="1:18" ht="12.75">
      <c r="A30" s="1092" t="s">
        <v>595</v>
      </c>
      <c r="B30" s="1118">
        <v>2</v>
      </c>
      <c r="C30" s="1119">
        <v>170.3</v>
      </c>
      <c r="D30" s="1119"/>
      <c r="E30" s="1119">
        <f t="shared" si="0"/>
        <v>30.8641975308642</v>
      </c>
      <c r="F30" s="1119">
        <f t="shared" si="1"/>
        <v>61.7283950617284</v>
      </c>
      <c r="G30" s="1119">
        <v>97.74</v>
      </c>
      <c r="H30" s="1119">
        <v>12</v>
      </c>
      <c r="I30" s="1121">
        <v>72.4</v>
      </c>
      <c r="J30" s="1118"/>
      <c r="K30" s="1118">
        <v>72.4</v>
      </c>
      <c r="L30" s="1120">
        <v>76.8</v>
      </c>
      <c r="M30" s="1119">
        <v>76.8</v>
      </c>
      <c r="N30" s="1120">
        <v>81</v>
      </c>
      <c r="O30" s="1119">
        <f t="shared" si="2"/>
        <v>81.024</v>
      </c>
      <c r="P30" s="1094"/>
      <c r="R30" s="142"/>
    </row>
    <row r="31" spans="1:18" ht="12.75">
      <c r="A31" s="1092" t="s">
        <v>596</v>
      </c>
      <c r="B31" s="1118">
        <v>7</v>
      </c>
      <c r="C31" s="1114">
        <v>281.2</v>
      </c>
      <c r="D31" s="1114"/>
      <c r="E31" s="1119">
        <f t="shared" si="0"/>
        <v>42.49899112187247</v>
      </c>
      <c r="F31" s="1119">
        <f t="shared" si="1"/>
        <v>297.4929378531073</v>
      </c>
      <c r="G31" s="1119">
        <v>103.84</v>
      </c>
      <c r="H31" s="1119">
        <v>12</v>
      </c>
      <c r="I31" s="1121">
        <v>370.7</v>
      </c>
      <c r="J31" s="1118"/>
      <c r="K31" s="1118">
        <v>370.7</v>
      </c>
      <c r="L31" s="1120">
        <v>393.3</v>
      </c>
      <c r="M31" s="1119">
        <v>393.3</v>
      </c>
      <c r="N31" s="1120">
        <v>414.9</v>
      </c>
      <c r="O31" s="1119">
        <f t="shared" si="2"/>
        <v>414.9315</v>
      </c>
      <c r="P31" s="1095"/>
      <c r="Q31">
        <v>3777.9</v>
      </c>
      <c r="R31" s="142">
        <f>Q31-I31</f>
        <v>3407.2000000000003</v>
      </c>
    </row>
    <row r="32" spans="1:15" ht="12.75">
      <c r="A32" s="1092" t="s">
        <v>597</v>
      </c>
      <c r="B32" s="1123">
        <v>1</v>
      </c>
      <c r="C32" s="1123"/>
      <c r="D32" s="1123"/>
      <c r="E32" s="1119">
        <f t="shared" si="0"/>
        <v>42.53338469440165</v>
      </c>
      <c r="F32" s="1119">
        <f t="shared" si="1"/>
        <v>42.53338469440165</v>
      </c>
      <c r="G32" s="1123">
        <v>103.84</v>
      </c>
      <c r="H32" s="1119">
        <v>12</v>
      </c>
      <c r="I32" s="1121">
        <v>53</v>
      </c>
      <c r="J32" s="1123"/>
      <c r="K32" s="1118">
        <v>53</v>
      </c>
      <c r="L32" s="1120">
        <v>56.2</v>
      </c>
      <c r="M32" s="1119">
        <v>56.2</v>
      </c>
      <c r="N32" s="1120">
        <v>59.3</v>
      </c>
      <c r="O32" s="1119">
        <f t="shared" si="2"/>
        <v>59.291000000000004</v>
      </c>
    </row>
    <row r="33" spans="1:24" ht="12.75">
      <c r="A33" s="1092" t="s">
        <v>598</v>
      </c>
      <c r="B33" s="1118">
        <v>1</v>
      </c>
      <c r="C33" s="1119">
        <v>144.9</v>
      </c>
      <c r="D33" s="1119"/>
      <c r="E33" s="1119">
        <f t="shared" si="0"/>
        <v>42.53338469440165</v>
      </c>
      <c r="F33" s="1119">
        <f t="shared" si="1"/>
        <v>42.53338469440165</v>
      </c>
      <c r="G33" s="1119">
        <v>103.84</v>
      </c>
      <c r="H33" s="1119">
        <v>12</v>
      </c>
      <c r="I33" s="1121">
        <v>53</v>
      </c>
      <c r="J33" s="1118"/>
      <c r="K33" s="1118">
        <v>53</v>
      </c>
      <c r="L33" s="1120">
        <v>56.2</v>
      </c>
      <c r="M33" s="1119">
        <v>56.2</v>
      </c>
      <c r="N33" s="1120">
        <v>59.3</v>
      </c>
      <c r="O33" s="1119">
        <f t="shared" si="2"/>
        <v>59.291000000000004</v>
      </c>
      <c r="P33" s="97"/>
      <c r="R33" s="142"/>
      <c r="X33" s="142"/>
    </row>
    <row r="34" spans="1:18" ht="12.75">
      <c r="A34" s="1092" t="s">
        <v>599</v>
      </c>
      <c r="B34" s="1118">
        <v>6</v>
      </c>
      <c r="C34" s="1119" t="e">
        <f>#REF!/#REF!*B34</f>
        <v>#REF!</v>
      </c>
      <c r="D34" s="1119"/>
      <c r="E34" s="1119">
        <f t="shared" si="0"/>
        <v>42.50663413799007</v>
      </c>
      <c r="F34" s="1119">
        <f t="shared" si="1"/>
        <v>255.03980482794043</v>
      </c>
      <c r="G34" s="1119">
        <v>103.84</v>
      </c>
      <c r="H34" s="1119">
        <v>12</v>
      </c>
      <c r="I34" s="1121">
        <v>317.8</v>
      </c>
      <c r="J34" s="1118"/>
      <c r="K34" s="1118">
        <v>317.8</v>
      </c>
      <c r="L34" s="1120">
        <v>337.2</v>
      </c>
      <c r="M34" s="1119">
        <v>337.2</v>
      </c>
      <c r="N34" s="1120">
        <v>355.7</v>
      </c>
      <c r="O34" s="1119">
        <f t="shared" si="2"/>
        <v>355.746</v>
      </c>
      <c r="P34" s="97"/>
      <c r="R34" s="142"/>
    </row>
    <row r="35" spans="1:18" ht="12.75">
      <c r="A35" s="1092" t="s">
        <v>600</v>
      </c>
      <c r="B35" s="1118">
        <v>2</v>
      </c>
      <c r="C35" s="1119" t="e">
        <f>#REF!/#REF!*B35</f>
        <v>#REF!</v>
      </c>
      <c r="D35" s="1119"/>
      <c r="E35" s="1119">
        <f t="shared" si="0"/>
        <v>46.187106918238996</v>
      </c>
      <c r="F35" s="1119">
        <f t="shared" si="1"/>
        <v>92.37421383647799</v>
      </c>
      <c r="G35" s="1119">
        <v>110.24</v>
      </c>
      <c r="H35" s="1119">
        <v>12</v>
      </c>
      <c r="I35" s="1121">
        <v>122.2</v>
      </c>
      <c r="J35" s="1118"/>
      <c r="K35" s="1118">
        <v>122.2</v>
      </c>
      <c r="L35" s="1120">
        <v>129.7</v>
      </c>
      <c r="M35" s="1119">
        <v>129.7</v>
      </c>
      <c r="N35" s="1120">
        <v>136.8</v>
      </c>
      <c r="O35" s="1119">
        <f t="shared" si="2"/>
        <v>136.8335</v>
      </c>
      <c r="P35" s="97"/>
      <c r="R35" s="142"/>
    </row>
    <row r="36" spans="1:18" ht="12.75">
      <c r="A36" s="1092" t="s">
        <v>601</v>
      </c>
      <c r="B36" s="1118">
        <v>2</v>
      </c>
      <c r="C36" s="1114">
        <v>627.9</v>
      </c>
      <c r="D36" s="1114"/>
      <c r="E36" s="1119">
        <f t="shared" si="0"/>
        <v>46.187106918238996</v>
      </c>
      <c r="F36" s="1119">
        <f t="shared" si="1"/>
        <v>92.37421383647799</v>
      </c>
      <c r="G36" s="1119">
        <v>110.24</v>
      </c>
      <c r="H36" s="1119">
        <v>12</v>
      </c>
      <c r="I36" s="1121">
        <v>122.2</v>
      </c>
      <c r="J36" s="1118"/>
      <c r="K36" s="1118">
        <v>122.2</v>
      </c>
      <c r="L36" s="1120">
        <v>129.7</v>
      </c>
      <c r="M36" s="1119">
        <v>129.7</v>
      </c>
      <c r="N36" s="1120">
        <v>136.8</v>
      </c>
      <c r="O36" s="1119">
        <f t="shared" si="2"/>
        <v>136.8335</v>
      </c>
      <c r="P36" s="97"/>
      <c r="Q36">
        <v>6559.3</v>
      </c>
      <c r="R36" s="142">
        <f>Q36-I36</f>
        <v>6437.1</v>
      </c>
    </row>
    <row r="37" spans="1:18" ht="12.75" hidden="1">
      <c r="A37" s="1092"/>
      <c r="B37" s="1124"/>
      <c r="C37" s="1124"/>
      <c r="D37" s="1124"/>
      <c r="E37" s="1119" t="e">
        <f t="shared" si="0"/>
        <v>#DIV/0!</v>
      </c>
      <c r="F37" s="1119" t="e">
        <f t="shared" si="1"/>
        <v>#DIV/0!</v>
      </c>
      <c r="G37" s="1119"/>
      <c r="H37" s="1119">
        <v>12</v>
      </c>
      <c r="I37" s="1121"/>
      <c r="J37" s="1118"/>
      <c r="K37" s="1118"/>
      <c r="L37" s="1120">
        <f>I37*106.1/100</f>
        <v>0</v>
      </c>
      <c r="M37" s="1119">
        <f>K37*106.1/100</f>
        <v>0</v>
      </c>
      <c r="N37" s="1120">
        <f>L37*105.5/100</f>
        <v>0</v>
      </c>
      <c r="O37" s="1119">
        <f t="shared" si="2"/>
        <v>0</v>
      </c>
      <c r="P37" s="97"/>
      <c r="R37" s="142"/>
    </row>
    <row r="38" spans="1:18" ht="12.75" hidden="1">
      <c r="A38" s="1092" t="s">
        <v>474</v>
      </c>
      <c r="B38" s="1118"/>
      <c r="C38" s="1114">
        <v>1747.7</v>
      </c>
      <c r="D38" s="1114" t="e">
        <f>SUM(C40:C40)</f>
        <v>#DIV/0!</v>
      </c>
      <c r="E38" s="1119" t="e">
        <f t="shared" si="0"/>
        <v>#DIV/0!</v>
      </c>
      <c r="F38" s="1119" t="e">
        <f t="shared" si="1"/>
        <v>#DIV/0!</v>
      </c>
      <c r="G38" s="1119"/>
      <c r="H38" s="1119">
        <v>12</v>
      </c>
      <c r="I38" s="1121"/>
      <c r="J38" s="1118"/>
      <c r="K38" s="1118"/>
      <c r="L38" s="1120">
        <f>I38*106.1/100</f>
        <v>0</v>
      </c>
      <c r="M38" s="1119">
        <f>K38*106.1/100</f>
        <v>0</v>
      </c>
      <c r="N38" s="1120">
        <f>L38*105.5/100</f>
        <v>0</v>
      </c>
      <c r="O38" s="1119">
        <f t="shared" si="2"/>
        <v>0</v>
      </c>
      <c r="P38" s="97"/>
      <c r="Q38">
        <v>9674</v>
      </c>
      <c r="R38" s="142">
        <f>Q38-I38</f>
        <v>9674</v>
      </c>
    </row>
    <row r="39" spans="1:18" ht="12.75" hidden="1">
      <c r="A39" s="1092" t="s">
        <v>339</v>
      </c>
      <c r="B39" s="1124"/>
      <c r="C39" s="1124" t="e">
        <f>SUM(C40:C40)</f>
        <v>#DIV/0!</v>
      </c>
      <c r="D39" s="1124"/>
      <c r="E39" s="1119" t="e">
        <f t="shared" si="0"/>
        <v>#DIV/0!</v>
      </c>
      <c r="F39" s="1119" t="e">
        <f t="shared" si="1"/>
        <v>#DIV/0!</v>
      </c>
      <c r="G39" s="1119"/>
      <c r="H39" s="1119">
        <v>12</v>
      </c>
      <c r="I39" s="1121"/>
      <c r="J39" s="1118"/>
      <c r="K39" s="1118"/>
      <c r="L39" s="1120">
        <f>I39*106.1/100</f>
        <v>0</v>
      </c>
      <c r="M39" s="1119">
        <f>K39*106.1/100</f>
        <v>0</v>
      </c>
      <c r="N39" s="1120">
        <f>L39*105.5/100</f>
        <v>0</v>
      </c>
      <c r="O39" s="1119">
        <f t="shared" si="2"/>
        <v>0</v>
      </c>
      <c r="P39" s="97"/>
      <c r="R39" s="142"/>
    </row>
    <row r="40" spans="1:24" ht="12.75">
      <c r="A40" s="1092" t="s">
        <v>602</v>
      </c>
      <c r="B40" s="1124">
        <v>2</v>
      </c>
      <c r="C40" s="1124" t="e">
        <f>C38/B38*B40</f>
        <v>#DIV/0!</v>
      </c>
      <c r="D40" s="1124"/>
      <c r="E40" s="1119">
        <f t="shared" si="0"/>
        <v>46.187106918238996</v>
      </c>
      <c r="F40" s="1119">
        <f t="shared" si="1"/>
        <v>92.37421383647799</v>
      </c>
      <c r="G40" s="1119">
        <v>110.24</v>
      </c>
      <c r="H40" s="1119">
        <v>12</v>
      </c>
      <c r="I40" s="1121">
        <v>122.2</v>
      </c>
      <c r="J40" s="1118"/>
      <c r="K40" s="1118">
        <v>122.2</v>
      </c>
      <c r="L40" s="1120">
        <v>129.7</v>
      </c>
      <c r="M40" s="1119">
        <v>129.7</v>
      </c>
      <c r="N40" s="1120">
        <v>136.8</v>
      </c>
      <c r="O40" s="1119">
        <f t="shared" si="2"/>
        <v>136.8335</v>
      </c>
      <c r="P40" s="97"/>
      <c r="R40" s="142"/>
      <c r="X40" s="142"/>
    </row>
    <row r="41" spans="1:24" ht="12.75">
      <c r="A41" s="1112" t="s">
        <v>13</v>
      </c>
      <c r="B41" s="1113">
        <f>SUM(B11:B40)</f>
        <v>1287</v>
      </c>
      <c r="C41" s="1113"/>
      <c r="D41" s="1113"/>
      <c r="E41" s="1113"/>
      <c r="F41" s="1113">
        <f>SUM(F11:F36)</f>
        <v>58885.764981737295</v>
      </c>
      <c r="G41" s="1113"/>
      <c r="H41" s="1113">
        <v>12</v>
      </c>
      <c r="I41" s="1116">
        <f>SUM(I11:I40)</f>
        <v>76337.29999999997</v>
      </c>
      <c r="J41" s="1114"/>
      <c r="K41" s="1114">
        <f>SUM(K11:K40)</f>
        <v>9050</v>
      </c>
      <c r="L41" s="1116">
        <f>SUM(L11:L40)</f>
        <v>80993.89999999998</v>
      </c>
      <c r="M41" s="1114">
        <f>SUM(M11:M40)</f>
        <v>9602.200000000003</v>
      </c>
      <c r="N41" s="1116">
        <f>SUM(N11:N40)</f>
        <v>85448.60000000003</v>
      </c>
      <c r="O41" s="1114">
        <f>SUM(O11:O40)</f>
        <v>10130.321</v>
      </c>
      <c r="P41" s="97"/>
      <c r="Q41">
        <f aca="true" t="shared" si="3" ref="Q41:V41">SUM(Q11:Q40)</f>
        <v>32022.100000000002</v>
      </c>
      <c r="R41">
        <f t="shared" si="3"/>
        <v>19518.300000000003</v>
      </c>
      <c r="S41">
        <f t="shared" si="3"/>
        <v>0</v>
      </c>
      <c r="T41">
        <f t="shared" si="3"/>
        <v>0</v>
      </c>
      <c r="U41">
        <f t="shared" si="3"/>
        <v>0</v>
      </c>
      <c r="V41">
        <f t="shared" si="3"/>
        <v>0</v>
      </c>
      <c r="X41" s="142"/>
    </row>
    <row r="42" spans="1:5" ht="12.75">
      <c r="A42" s="1108"/>
      <c r="B42" s="1109"/>
      <c r="C42" s="1110"/>
      <c r="D42" s="1110"/>
      <c r="E42" s="1110"/>
    </row>
    <row r="43" spans="1:5" ht="12.75">
      <c r="A43" s="1108"/>
      <c r="B43" s="1110"/>
      <c r="C43" s="1110"/>
      <c r="D43" s="1110"/>
      <c r="E43" s="1110"/>
    </row>
  </sheetData>
  <sheetProtection/>
  <mergeCells count="13">
    <mergeCell ref="A5:O5"/>
    <mergeCell ref="E8:E9"/>
    <mergeCell ref="G8:G9"/>
    <mergeCell ref="H8:H9"/>
    <mergeCell ref="I8:O8"/>
    <mergeCell ref="F8:F9"/>
    <mergeCell ref="A1:O1"/>
    <mergeCell ref="A8:A9"/>
    <mergeCell ref="B8:B9"/>
    <mergeCell ref="C8:C9"/>
    <mergeCell ref="A2:O2"/>
    <mergeCell ref="A3:O3"/>
    <mergeCell ref="A4:O4"/>
  </mergeCells>
  <printOptions/>
  <pageMargins left="0.7" right="0.7" top="0.75" bottom="0.75" header="0.3" footer="0.3"/>
  <pageSetup fitToHeight="0" fitToWidth="1" orientation="portrait" paperSize="9" scale="5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4"/>
  <sheetViews>
    <sheetView zoomScalePageLayoutView="0" workbookViewId="0" topLeftCell="A1">
      <selection activeCell="K2" sqref="K2"/>
    </sheetView>
  </sheetViews>
  <sheetFormatPr defaultColWidth="9.00390625" defaultRowHeight="12.75"/>
  <cols>
    <col min="1" max="1" width="32.125" style="0" customWidth="1"/>
    <col min="2" max="2" width="9.25390625" style="0" customWidth="1"/>
    <col min="3" max="3" width="18.625" style="0" customWidth="1"/>
    <col min="4" max="4" width="17.25390625" style="0" customWidth="1"/>
    <col min="5" max="5" width="13.375" style="0" customWidth="1"/>
    <col min="6" max="6" width="14.875" style="0" customWidth="1"/>
    <col min="7" max="7" width="15.75390625" style="0" customWidth="1"/>
  </cols>
  <sheetData>
    <row r="1" spans="1:3" ht="15">
      <c r="A1" s="192"/>
      <c r="B1" s="192"/>
      <c r="C1" s="1226"/>
    </row>
    <row r="2" spans="1:8" ht="75.75" customHeight="1">
      <c r="A2" s="1577" t="s">
        <v>732</v>
      </c>
      <c r="B2" s="1577"/>
      <c r="C2" s="1577"/>
      <c r="D2" s="1577"/>
      <c r="E2" s="1577"/>
      <c r="F2" s="1577"/>
      <c r="G2" s="1577"/>
      <c r="H2" s="1577"/>
    </row>
    <row r="3" spans="1:3" ht="15.75">
      <c r="A3" s="1185"/>
      <c r="B3" s="1185"/>
      <c r="C3" s="1185"/>
    </row>
    <row r="4" spans="1:7" ht="14.25">
      <c r="A4" s="1227"/>
      <c r="B4" s="1227"/>
      <c r="G4" s="1228" t="s">
        <v>723</v>
      </c>
    </row>
    <row r="5" spans="1:8" ht="57" customHeight="1">
      <c r="A5" s="1229" t="s">
        <v>29</v>
      </c>
      <c r="B5" s="1229" t="s">
        <v>724</v>
      </c>
      <c r="C5" s="1229" t="s">
        <v>725</v>
      </c>
      <c r="D5" s="1239" t="s">
        <v>726</v>
      </c>
      <c r="E5" s="1243" t="s">
        <v>13</v>
      </c>
      <c r="F5" s="1229" t="s">
        <v>727</v>
      </c>
      <c r="G5" s="1239" t="s">
        <v>728</v>
      </c>
      <c r="H5" s="1243" t="s">
        <v>13</v>
      </c>
    </row>
    <row r="6" spans="1:8" ht="15">
      <c r="A6" s="1230" t="s">
        <v>729</v>
      </c>
      <c r="B6" s="1231">
        <f>E6+H6</f>
        <v>258.6</v>
      </c>
      <c r="C6" s="1232">
        <f aca="true" t="shared" si="0" ref="C6:H6">SUM(C7:C14)</f>
        <v>205</v>
      </c>
      <c r="D6" s="1232">
        <f t="shared" si="0"/>
        <v>7</v>
      </c>
      <c r="E6" s="1232">
        <f t="shared" si="0"/>
        <v>238</v>
      </c>
      <c r="F6" s="1232">
        <f t="shared" si="0"/>
        <v>20.6</v>
      </c>
      <c r="G6" s="1232">
        <f t="shared" si="0"/>
        <v>1</v>
      </c>
      <c r="H6" s="1232">
        <f t="shared" si="0"/>
        <v>20.6</v>
      </c>
    </row>
    <row r="7" spans="1:8" ht="15">
      <c r="A7" s="1233" t="s">
        <v>730</v>
      </c>
      <c r="B7" s="1231"/>
      <c r="C7" s="1240"/>
      <c r="D7" s="1240"/>
      <c r="E7" s="1244"/>
      <c r="F7" s="1240"/>
      <c r="G7" s="1240"/>
      <c r="H7" s="1244"/>
    </row>
    <row r="8" spans="1:8" ht="15">
      <c r="A8" s="1234" t="s">
        <v>163</v>
      </c>
      <c r="B8" s="1231">
        <f aca="true" t="shared" si="1" ref="B8:B14">E8+H8</f>
        <v>29</v>
      </c>
      <c r="C8" s="1235">
        <v>29</v>
      </c>
      <c r="D8" s="1240">
        <v>1</v>
      </c>
      <c r="E8" s="1244">
        <f>C8*D8</f>
        <v>29</v>
      </c>
      <c r="F8" s="1240"/>
      <c r="G8" s="1240"/>
      <c r="H8" s="1244"/>
    </row>
    <row r="9" spans="1:8" ht="15">
      <c r="A9" s="1234"/>
      <c r="B9" s="1231">
        <f t="shared" si="1"/>
        <v>40</v>
      </c>
      <c r="C9" s="1235">
        <v>40</v>
      </c>
      <c r="D9" s="1240">
        <v>1</v>
      </c>
      <c r="E9" s="1244">
        <f aca="true" t="shared" si="2" ref="E9:E14">C9*D9</f>
        <v>40</v>
      </c>
      <c r="F9" s="1240"/>
      <c r="G9" s="1240"/>
      <c r="H9" s="1244"/>
    </row>
    <row r="10" spans="1:8" ht="15">
      <c r="A10" s="1234" t="s">
        <v>479</v>
      </c>
      <c r="B10" s="1231">
        <f t="shared" si="1"/>
        <v>58.6</v>
      </c>
      <c r="C10" s="1235">
        <v>38</v>
      </c>
      <c r="D10" s="1240">
        <v>1</v>
      </c>
      <c r="E10" s="1244">
        <f t="shared" si="2"/>
        <v>38</v>
      </c>
      <c r="F10" s="1240">
        <v>20.6</v>
      </c>
      <c r="G10" s="1240">
        <v>1</v>
      </c>
      <c r="H10" s="1244">
        <f>F10*G10</f>
        <v>20.6</v>
      </c>
    </row>
    <row r="11" spans="1:8" ht="15">
      <c r="A11" s="1236" t="s">
        <v>731</v>
      </c>
      <c r="B11" s="1231"/>
      <c r="C11" s="1240"/>
      <c r="D11" s="1240"/>
      <c r="E11" s="1244"/>
      <c r="F11" s="1240"/>
      <c r="G11" s="1240"/>
      <c r="H11" s="1244"/>
    </row>
    <row r="12" spans="1:8" ht="15">
      <c r="A12" s="1237" t="s">
        <v>1</v>
      </c>
      <c r="B12" s="1231">
        <f t="shared" si="1"/>
        <v>38</v>
      </c>
      <c r="C12" s="1241">
        <v>38</v>
      </c>
      <c r="D12" s="1240">
        <v>1</v>
      </c>
      <c r="E12" s="1244">
        <f t="shared" si="2"/>
        <v>38</v>
      </c>
      <c r="F12" s="1240"/>
      <c r="G12" s="1240"/>
      <c r="H12" s="1244"/>
    </row>
    <row r="13" spans="1:8" ht="15">
      <c r="A13" s="1238" t="s">
        <v>31</v>
      </c>
      <c r="B13" s="1231">
        <f t="shared" si="1"/>
        <v>27</v>
      </c>
      <c r="C13" s="1241">
        <v>27</v>
      </c>
      <c r="D13" s="1240">
        <v>1</v>
      </c>
      <c r="E13" s="1244">
        <f t="shared" si="2"/>
        <v>27</v>
      </c>
      <c r="F13" s="1240"/>
      <c r="G13" s="1240"/>
      <c r="H13" s="1244"/>
    </row>
    <row r="14" spans="1:8" ht="15">
      <c r="A14" s="1234"/>
      <c r="B14" s="1231">
        <f t="shared" si="1"/>
        <v>66</v>
      </c>
      <c r="C14" s="1242">
        <v>33</v>
      </c>
      <c r="D14" s="1240">
        <v>2</v>
      </c>
      <c r="E14" s="1244">
        <f t="shared" si="2"/>
        <v>66</v>
      </c>
      <c r="F14" s="1240"/>
      <c r="G14" s="1240"/>
      <c r="H14" s="1244"/>
    </row>
  </sheetData>
  <sheetProtection/>
  <mergeCells count="1">
    <mergeCell ref="A2:H2"/>
  </mergeCells>
  <printOptions/>
  <pageMargins left="0.7" right="0.7" top="0.75" bottom="0.75" header="0.3" footer="0.3"/>
  <pageSetup fitToHeight="0" fitToWidth="1" orientation="portrait" paperSize="9" scale="6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2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39.375" style="0" customWidth="1"/>
    <col min="2" max="2" width="19.75390625" style="0" customWidth="1"/>
    <col min="3" max="3" width="13.875" style="0" customWidth="1"/>
    <col min="4" max="4" width="9.875" style="0" customWidth="1"/>
  </cols>
  <sheetData>
    <row r="1" spans="1:4" ht="112.5" customHeight="1">
      <c r="A1" s="1577" t="s">
        <v>734</v>
      </c>
      <c r="B1" s="1577"/>
      <c r="C1" s="1578"/>
      <c r="D1" s="1578"/>
    </row>
    <row r="2" spans="1:2" ht="15.75">
      <c r="A2" s="1185"/>
      <c r="B2" s="1185"/>
    </row>
    <row r="3" spans="1:4" ht="14.25">
      <c r="A3" s="1227"/>
      <c r="D3" s="1228" t="s">
        <v>723</v>
      </c>
    </row>
    <row r="4" spans="1:4" ht="81.75" customHeight="1">
      <c r="A4" s="1247" t="s">
        <v>29</v>
      </c>
      <c r="B4" s="1247" t="s">
        <v>725</v>
      </c>
      <c r="C4" s="1248" t="s">
        <v>726</v>
      </c>
      <c r="D4" s="1253" t="s">
        <v>13</v>
      </c>
    </row>
    <row r="5" spans="1:4" ht="15">
      <c r="A5" s="1249" t="s">
        <v>729</v>
      </c>
      <c r="B5" s="1245">
        <f>SUM(B6:B12)</f>
        <v>160</v>
      </c>
      <c r="C5" s="1245">
        <f>SUM(C6:C12)</f>
        <v>5</v>
      </c>
      <c r="D5" s="1245">
        <f>SUM(D6:D12)</f>
        <v>160</v>
      </c>
    </row>
    <row r="6" spans="1:4" ht="15">
      <c r="A6" s="1250" t="s">
        <v>731</v>
      </c>
      <c r="B6" s="1251"/>
      <c r="C6" s="1251"/>
      <c r="D6" s="1254"/>
    </row>
    <row r="7" spans="1:4" ht="15">
      <c r="A7" s="1252" t="s">
        <v>0</v>
      </c>
      <c r="B7" s="1246">
        <v>35</v>
      </c>
      <c r="C7" s="1251">
        <v>1</v>
      </c>
      <c r="D7" s="1254">
        <f>B7*C7</f>
        <v>35</v>
      </c>
    </row>
    <row r="8" spans="1:4" ht="15">
      <c r="A8" s="1252" t="s">
        <v>33</v>
      </c>
      <c r="B8" s="1246">
        <v>20</v>
      </c>
      <c r="C8" s="1251">
        <v>1</v>
      </c>
      <c r="D8" s="1254">
        <f>B8*C8</f>
        <v>20</v>
      </c>
    </row>
    <row r="9" spans="1:4" ht="15">
      <c r="A9" s="1252"/>
      <c r="B9" s="1246">
        <v>45</v>
      </c>
      <c r="C9" s="1251">
        <v>1</v>
      </c>
      <c r="D9" s="1254">
        <f>B9*C9</f>
        <v>45</v>
      </c>
    </row>
    <row r="10" spans="1:4" ht="15">
      <c r="A10" s="1255" t="s">
        <v>733</v>
      </c>
      <c r="B10" s="1251"/>
      <c r="C10" s="1251"/>
      <c r="D10" s="1254"/>
    </row>
    <row r="11" spans="1:4" ht="15">
      <c r="A11" s="1252" t="s">
        <v>622</v>
      </c>
      <c r="B11" s="1251">
        <v>35</v>
      </c>
      <c r="C11" s="1251">
        <v>1</v>
      </c>
      <c r="D11" s="1254">
        <f>B11*C11</f>
        <v>35</v>
      </c>
    </row>
    <row r="12" spans="1:4" ht="15">
      <c r="A12" s="1252" t="s">
        <v>650</v>
      </c>
      <c r="B12" s="1251">
        <v>25</v>
      </c>
      <c r="C12" s="1251">
        <v>1</v>
      </c>
      <c r="D12" s="1254">
        <f>B12*C12</f>
        <v>25</v>
      </c>
    </row>
  </sheetData>
  <sheetProtection/>
  <mergeCells count="1">
    <mergeCell ref="A1:D1"/>
  </mergeCells>
  <printOptions/>
  <pageMargins left="0.7" right="0.7" top="0.75" bottom="0.75" header="0.3" footer="0.3"/>
  <pageSetup fitToHeight="0" fitToWidth="1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2"/>
  <sheetViews>
    <sheetView zoomScalePageLayoutView="0" workbookViewId="0" topLeftCell="A1">
      <selection activeCell="N5" sqref="N5"/>
    </sheetView>
  </sheetViews>
  <sheetFormatPr defaultColWidth="9.00390625" defaultRowHeight="12.75"/>
  <cols>
    <col min="1" max="1" width="30.25390625" style="0" customWidth="1"/>
    <col min="2" max="2" width="22.75390625" style="0" customWidth="1"/>
    <col min="3" max="3" width="21.00390625" style="0" customWidth="1"/>
    <col min="4" max="4" width="11.25390625" style="0" customWidth="1"/>
  </cols>
  <sheetData>
    <row r="1" spans="1:2" ht="15">
      <c r="A1" s="192"/>
      <c r="B1" s="1226"/>
    </row>
    <row r="2" spans="1:4" ht="127.5" customHeight="1">
      <c r="A2" s="1577" t="s">
        <v>734</v>
      </c>
      <c r="B2" s="1577"/>
      <c r="C2" s="1578"/>
      <c r="D2" s="1578"/>
    </row>
    <row r="3" spans="1:2" ht="15.75">
      <c r="A3" s="1185"/>
      <c r="B3" s="1185"/>
    </row>
    <row r="4" spans="1:4" ht="14.25">
      <c r="A4" s="1227"/>
      <c r="D4" s="1228" t="s">
        <v>723</v>
      </c>
    </row>
    <row r="5" spans="1:4" ht="81.75" customHeight="1">
      <c r="A5" s="1261" t="s">
        <v>29</v>
      </c>
      <c r="B5" s="1261" t="s">
        <v>735</v>
      </c>
      <c r="C5" s="1262" t="s">
        <v>726</v>
      </c>
      <c r="D5" s="1263" t="s">
        <v>13</v>
      </c>
    </row>
    <row r="6" spans="1:4" ht="15.75">
      <c r="A6" s="1230" t="s">
        <v>729</v>
      </c>
      <c r="B6" s="1256">
        <f>B8+B9+B11+B12</f>
        <v>145</v>
      </c>
      <c r="C6" s="1256">
        <f>C8+C9+C11+C12</f>
        <v>11</v>
      </c>
      <c r="D6" s="1256">
        <f>D8+D9+D11+D12</f>
        <v>390</v>
      </c>
    </row>
    <row r="7" spans="1:4" ht="15.75">
      <c r="A7" s="1233" t="s">
        <v>730</v>
      </c>
      <c r="B7" s="1257"/>
      <c r="C7" s="1257"/>
      <c r="D7" s="1260"/>
    </row>
    <row r="8" spans="1:4" ht="15.75">
      <c r="A8" s="1234" t="s">
        <v>163</v>
      </c>
      <c r="B8" s="1258">
        <v>35</v>
      </c>
      <c r="C8" s="1257">
        <v>5</v>
      </c>
      <c r="D8" s="1264">
        <f>B8*C8</f>
        <v>175</v>
      </c>
    </row>
    <row r="9" spans="1:4" ht="15.75">
      <c r="A9" s="1234" t="s">
        <v>479</v>
      </c>
      <c r="B9" s="1258">
        <v>40</v>
      </c>
      <c r="C9" s="1257">
        <v>1</v>
      </c>
      <c r="D9" s="1264">
        <f>B9*C9</f>
        <v>40</v>
      </c>
    </row>
    <row r="10" spans="1:4" ht="15.75">
      <c r="A10" s="1236" t="s">
        <v>731</v>
      </c>
      <c r="B10" s="1257"/>
      <c r="C10" s="1257"/>
      <c r="D10" s="1264"/>
    </row>
    <row r="11" spans="1:4" ht="15.75">
      <c r="A11" s="1237" t="s">
        <v>0</v>
      </c>
      <c r="B11" s="1259">
        <v>35</v>
      </c>
      <c r="C11" s="1257">
        <v>3</v>
      </c>
      <c r="D11" s="1264">
        <f>B11*C11</f>
        <v>105</v>
      </c>
    </row>
    <row r="12" spans="1:4" ht="15.75">
      <c r="A12" s="1237" t="s">
        <v>631</v>
      </c>
      <c r="B12" s="1259">
        <v>35</v>
      </c>
      <c r="C12" s="1257">
        <v>2</v>
      </c>
      <c r="D12" s="1264">
        <f>B12*C12</f>
        <v>70</v>
      </c>
    </row>
  </sheetData>
  <sheetProtection/>
  <mergeCells count="1">
    <mergeCell ref="A2:D2"/>
  </mergeCells>
  <printOptions/>
  <pageMargins left="0.7" right="0.7" top="0.75" bottom="0.75" header="0.3" footer="0.3"/>
  <pageSetup fitToHeight="0" fitToWidth="1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I53"/>
  <sheetViews>
    <sheetView zoomScalePageLayoutView="0" workbookViewId="0" topLeftCell="A1">
      <selection activeCell="M30" sqref="M30"/>
    </sheetView>
  </sheetViews>
  <sheetFormatPr defaultColWidth="9.00390625" defaultRowHeight="12.75"/>
  <cols>
    <col min="1" max="1" width="3.625" style="94" customWidth="1"/>
    <col min="2" max="2" width="26.625" style="94" customWidth="1"/>
    <col min="3" max="3" width="14.25390625" style="94" customWidth="1"/>
    <col min="4" max="4" width="13.25390625" style="94" customWidth="1"/>
    <col min="5" max="5" width="12.625" style="94" customWidth="1"/>
    <col min="6" max="9" width="0" style="94" hidden="1" customWidth="1"/>
    <col min="10" max="16384" width="9.125" style="94" customWidth="1"/>
  </cols>
  <sheetData>
    <row r="1" spans="2:7" ht="31.5" customHeight="1">
      <c r="B1" s="1579" t="s">
        <v>607</v>
      </c>
      <c r="C1" s="1579"/>
      <c r="D1" s="1579"/>
      <c r="E1" s="1579"/>
      <c r="F1" s="1579"/>
      <c r="G1" s="1579"/>
    </row>
    <row r="3" spans="1:7" ht="54" customHeight="1">
      <c r="A3" s="53"/>
      <c r="B3" s="44" t="s">
        <v>608</v>
      </c>
      <c r="C3" s="44" t="s">
        <v>609</v>
      </c>
      <c r="D3" s="44" t="s">
        <v>610</v>
      </c>
      <c r="E3" s="44" t="s">
        <v>611</v>
      </c>
      <c r="G3" s="1125" t="s">
        <v>612</v>
      </c>
    </row>
    <row r="4" spans="1:7" ht="12.75">
      <c r="A4" s="53"/>
      <c r="B4" s="44"/>
      <c r="C4" s="44"/>
      <c r="D4" s="1126">
        <v>100000</v>
      </c>
      <c r="E4" s="1127"/>
      <c r="F4" s="1128"/>
      <c r="G4" s="53"/>
    </row>
    <row r="5" spans="1:9" ht="15">
      <c r="A5" s="1129"/>
      <c r="B5" s="47" t="s">
        <v>613</v>
      </c>
      <c r="C5" s="1130">
        <f>SUM(C6:C53)</f>
        <v>149929</v>
      </c>
      <c r="D5" s="1131">
        <f>SUM(D6:D53)</f>
        <v>100000.00000000004</v>
      </c>
      <c r="E5" s="1130">
        <f>SUM(E6:E53)</f>
        <v>100000</v>
      </c>
      <c r="F5" s="1128">
        <f>F7+F20+F31+F36+F41+F47</f>
        <v>27220</v>
      </c>
      <c r="G5" s="1093">
        <f>D5/C5*1000</f>
        <v>666.9823716559174</v>
      </c>
      <c r="H5" s="1128">
        <f>SUM(H6:H53)</f>
        <v>159988</v>
      </c>
      <c r="I5" s="1128">
        <f>SUM(I7:I53)</f>
        <v>7617</v>
      </c>
    </row>
    <row r="6" spans="1:8" ht="12.75">
      <c r="A6" s="1129">
        <v>1</v>
      </c>
      <c r="B6" s="1132" t="s">
        <v>180</v>
      </c>
      <c r="C6" s="1133">
        <v>101045</v>
      </c>
      <c r="D6" s="1134">
        <f>(D4/C5)*C6</f>
        <v>67395.23374397215</v>
      </c>
      <c r="E6" s="1127">
        <v>67395</v>
      </c>
      <c r="F6" s="1128"/>
      <c r="G6" s="1093">
        <f>D6/C6*1000</f>
        <v>666.9823716559171</v>
      </c>
      <c r="H6" s="1128">
        <f>C6</f>
        <v>101045</v>
      </c>
    </row>
    <row r="7" spans="1:8" ht="12.75">
      <c r="A7" s="1129"/>
      <c r="B7" s="1135" t="s">
        <v>0</v>
      </c>
      <c r="C7" s="1133"/>
      <c r="D7" s="1134"/>
      <c r="E7" s="1127"/>
      <c r="F7" s="1136">
        <f>SUM(E8:E16)</f>
        <v>6710</v>
      </c>
      <c r="G7" s="1093"/>
      <c r="H7" s="1128">
        <f>SUM(C8:C16)</f>
        <v>10059</v>
      </c>
    </row>
    <row r="8" spans="1:8" ht="12.75">
      <c r="A8" s="1129">
        <v>2</v>
      </c>
      <c r="B8" s="1132" t="s">
        <v>614</v>
      </c>
      <c r="C8" s="1133">
        <v>6175</v>
      </c>
      <c r="D8" s="1134">
        <f>(D4/C5)*C8</f>
        <v>4118.616144975288</v>
      </c>
      <c r="E8" s="1127">
        <v>4119</v>
      </c>
      <c r="F8" s="1128"/>
      <c r="G8" s="1093">
        <f aca="true" t="shared" si="0" ref="G8:G16">D8/C8*1000</f>
        <v>666.9823716559171</v>
      </c>
      <c r="H8" s="1128">
        <f>SUM(C8:C16)</f>
        <v>10059</v>
      </c>
    </row>
    <row r="9" spans="1:7" ht="12.75">
      <c r="A9" s="1129">
        <v>3</v>
      </c>
      <c r="B9" s="1132" t="s">
        <v>615</v>
      </c>
      <c r="C9" s="1133">
        <v>1128</v>
      </c>
      <c r="D9" s="1134">
        <f>(D4/C5)*C9</f>
        <v>752.3561152278745</v>
      </c>
      <c r="E9" s="1127">
        <v>752</v>
      </c>
      <c r="F9" s="1128"/>
      <c r="G9" s="1093">
        <f t="shared" si="0"/>
        <v>666.9823716559171</v>
      </c>
    </row>
    <row r="10" spans="1:7" ht="12.75">
      <c r="A10" s="1129">
        <v>4</v>
      </c>
      <c r="B10" s="1132" t="s">
        <v>616</v>
      </c>
      <c r="C10" s="1133">
        <v>291</v>
      </c>
      <c r="D10" s="1134">
        <f>(D4/C5)*C10</f>
        <v>194.0918701518719</v>
      </c>
      <c r="E10" s="1127">
        <v>194</v>
      </c>
      <c r="F10" s="1128"/>
      <c r="G10" s="1093">
        <f t="shared" si="0"/>
        <v>666.9823716559171</v>
      </c>
    </row>
    <row r="11" spans="1:7" ht="12.75">
      <c r="A11" s="1129">
        <v>5</v>
      </c>
      <c r="B11" s="1132" t="s">
        <v>617</v>
      </c>
      <c r="C11" s="1133">
        <v>427</v>
      </c>
      <c r="D11" s="1134">
        <f>(D4/C5)*C11</f>
        <v>284.80147269707663</v>
      </c>
      <c r="E11" s="1127">
        <v>285</v>
      </c>
      <c r="F11" s="1128"/>
      <c r="G11" s="1093">
        <f t="shared" si="0"/>
        <v>666.9823716559172</v>
      </c>
    </row>
    <row r="12" spans="1:7" ht="12.75">
      <c r="A12" s="1129">
        <v>6</v>
      </c>
      <c r="B12" s="1132" t="s">
        <v>618</v>
      </c>
      <c r="C12" s="1133">
        <v>582</v>
      </c>
      <c r="D12" s="1134">
        <f>(D4/C5)*C12</f>
        <v>388.1837403037438</v>
      </c>
      <c r="E12" s="1127">
        <v>388</v>
      </c>
      <c r="F12" s="1128"/>
      <c r="G12" s="1093">
        <f t="shared" si="0"/>
        <v>666.9823716559171</v>
      </c>
    </row>
    <row r="13" spans="1:7" ht="12.75">
      <c r="A13" s="1129">
        <v>7</v>
      </c>
      <c r="B13" s="1132" t="s">
        <v>619</v>
      </c>
      <c r="C13" s="1133">
        <v>412</v>
      </c>
      <c r="D13" s="1134">
        <f>(D4/C5)*C13</f>
        <v>274.79673712223786</v>
      </c>
      <c r="E13" s="1127">
        <v>275</v>
      </c>
      <c r="F13" s="1128"/>
      <c r="G13" s="1093">
        <f t="shared" si="0"/>
        <v>666.9823716559171</v>
      </c>
    </row>
    <row r="14" spans="1:7" ht="12.75">
      <c r="A14" s="1129">
        <v>8</v>
      </c>
      <c r="B14" s="1132" t="s">
        <v>620</v>
      </c>
      <c r="C14" s="1133">
        <v>658</v>
      </c>
      <c r="D14" s="1134">
        <f>(D4/C5)*C14</f>
        <v>438.8744005495935</v>
      </c>
      <c r="E14" s="1127">
        <v>439</v>
      </c>
      <c r="F14" s="1128"/>
      <c r="G14" s="1093">
        <f t="shared" si="0"/>
        <v>666.9823716559171</v>
      </c>
    </row>
    <row r="15" spans="1:7" ht="12.75">
      <c r="A15" s="1129">
        <v>9</v>
      </c>
      <c r="B15" s="1132" t="s">
        <v>621</v>
      </c>
      <c r="C15" s="1133">
        <v>301</v>
      </c>
      <c r="D15" s="1134">
        <f>(D4/C5)*C15</f>
        <v>200.76169386843105</v>
      </c>
      <c r="E15" s="1127">
        <v>201</v>
      </c>
      <c r="F15" s="1128"/>
      <c r="G15" s="1093">
        <f t="shared" si="0"/>
        <v>666.9823716559171</v>
      </c>
    </row>
    <row r="16" spans="1:7" ht="12.75">
      <c r="A16" s="1129">
        <v>10</v>
      </c>
      <c r="B16" s="1132" t="s">
        <v>622</v>
      </c>
      <c r="C16" s="1133">
        <v>85</v>
      </c>
      <c r="D16" s="1134">
        <f>(D4/C5)*C16</f>
        <v>56.69350159075295</v>
      </c>
      <c r="E16" s="1127">
        <v>57</v>
      </c>
      <c r="F16" s="1128"/>
      <c r="G16" s="1093">
        <f t="shared" si="0"/>
        <v>666.9823716559171</v>
      </c>
    </row>
    <row r="17" spans="1:9" ht="12.75">
      <c r="A17" s="1129"/>
      <c r="B17" s="1135" t="s">
        <v>30</v>
      </c>
      <c r="C17" s="1133"/>
      <c r="D17" s="1134"/>
      <c r="E17" s="1127"/>
      <c r="F17" s="1136">
        <f>SUM(E18:E19)</f>
        <v>3584</v>
      </c>
      <c r="G17" s="1093"/>
      <c r="H17" s="1128">
        <f>SUM(C18:C19)</f>
        <v>5373</v>
      </c>
      <c r="I17" s="1128">
        <f>5585-H17</f>
        <v>212</v>
      </c>
    </row>
    <row r="18" spans="1:7" ht="25.5">
      <c r="A18" s="1129">
        <v>11</v>
      </c>
      <c r="B18" s="1137" t="s">
        <v>479</v>
      </c>
      <c r="C18" s="1133">
        <v>5373</v>
      </c>
      <c r="D18" s="1134">
        <f>(D4/C5)*C18</f>
        <v>3583.6962829072427</v>
      </c>
      <c r="E18" s="1127">
        <v>3584</v>
      </c>
      <c r="F18" s="1128"/>
      <c r="G18" s="1093">
        <f>D18/C18*1000</f>
        <v>666.9823716559171</v>
      </c>
    </row>
    <row r="19" spans="1:7" ht="12.75" customHeight="1" hidden="1">
      <c r="A19" s="1129">
        <v>12</v>
      </c>
      <c r="B19" s="1132"/>
      <c r="C19" s="1133"/>
      <c r="D19" s="1134"/>
      <c r="E19" s="1127"/>
      <c r="F19" s="1128"/>
      <c r="G19" s="1093"/>
    </row>
    <row r="20" spans="1:8" ht="12.75">
      <c r="A20" s="1129"/>
      <c r="B20" s="1135" t="s">
        <v>1</v>
      </c>
      <c r="C20" s="1133"/>
      <c r="D20" s="1134"/>
      <c r="E20" s="1127"/>
      <c r="F20" s="1136">
        <f>SUM(E21:E25)</f>
        <v>1486</v>
      </c>
      <c r="G20" s="1093"/>
      <c r="H20" s="1128">
        <f>SUM(C21:C25)</f>
        <v>2228</v>
      </c>
    </row>
    <row r="21" spans="1:7" ht="12.75">
      <c r="A21" s="1129">
        <v>13</v>
      </c>
      <c r="B21" s="1132" t="s">
        <v>623</v>
      </c>
      <c r="C21" s="1133">
        <v>1603</v>
      </c>
      <c r="D21" s="1134">
        <f>(D4/C5)*C21</f>
        <v>1069.1727417644352</v>
      </c>
      <c r="E21" s="1127">
        <v>1069</v>
      </c>
      <c r="F21" s="1128"/>
      <c r="G21" s="1093">
        <f>D21/C21*1000</f>
        <v>666.9823716559171</v>
      </c>
    </row>
    <row r="22" spans="1:7" ht="12.75">
      <c r="A22" s="1129">
        <v>14</v>
      </c>
      <c r="B22" s="1132" t="s">
        <v>624</v>
      </c>
      <c r="C22" s="1133">
        <v>144</v>
      </c>
      <c r="D22" s="1134">
        <f>(D4/C5)*C22</f>
        <v>96.04546151845207</v>
      </c>
      <c r="E22" s="1127">
        <v>96</v>
      </c>
      <c r="F22" s="1128"/>
      <c r="G22" s="1093">
        <f>D22/C22*1000</f>
        <v>666.9823716559171</v>
      </c>
    </row>
    <row r="23" spans="1:7" ht="12.75">
      <c r="A23" s="1129">
        <v>15</v>
      </c>
      <c r="B23" s="1132" t="s">
        <v>625</v>
      </c>
      <c r="C23" s="1133">
        <v>160</v>
      </c>
      <c r="D23" s="1134">
        <f>(D4/C5)*C23</f>
        <v>106.71717946494674</v>
      </c>
      <c r="E23" s="1127">
        <v>107</v>
      </c>
      <c r="F23" s="1128"/>
      <c r="G23" s="1093">
        <f>D23/C23*1000</f>
        <v>666.9823716559171</v>
      </c>
    </row>
    <row r="24" spans="1:7" ht="12.75">
      <c r="A24" s="1129">
        <v>16</v>
      </c>
      <c r="B24" s="1132" t="s">
        <v>626</v>
      </c>
      <c r="C24" s="1133">
        <v>259</v>
      </c>
      <c r="D24" s="1134">
        <f>(D4/C5)*C24</f>
        <v>172.74843425888253</v>
      </c>
      <c r="E24" s="1127">
        <v>173</v>
      </c>
      <c r="F24" s="1128"/>
      <c r="G24" s="1093">
        <f>D24/C24*1000</f>
        <v>666.9823716559171</v>
      </c>
    </row>
    <row r="25" spans="1:7" ht="12.75">
      <c r="A25" s="1129">
        <v>17</v>
      </c>
      <c r="B25" s="1132" t="s">
        <v>627</v>
      </c>
      <c r="C25" s="1133">
        <v>62</v>
      </c>
      <c r="D25" s="1134">
        <f>(D4/C5)*C25</f>
        <v>41.352907042666864</v>
      </c>
      <c r="E25" s="1127">
        <v>41</v>
      </c>
      <c r="F25" s="1128"/>
      <c r="G25" s="1093">
        <f>D25/C25*1000</f>
        <v>666.9823716559171</v>
      </c>
    </row>
    <row r="26" spans="1:9" ht="12.75">
      <c r="A26" s="1129"/>
      <c r="B26" s="1135" t="s">
        <v>3</v>
      </c>
      <c r="C26" s="1133"/>
      <c r="D26" s="1134"/>
      <c r="E26" s="1127"/>
      <c r="F26" s="1136">
        <f>SUM(E27:E30)</f>
        <v>1801</v>
      </c>
      <c r="G26" s="1093"/>
      <c r="H26" s="1128">
        <f>SUM(C27:C30)</f>
        <v>2701</v>
      </c>
      <c r="I26" s="1128">
        <f>SUM(E27:E29)</f>
        <v>1801</v>
      </c>
    </row>
    <row r="27" spans="1:7" ht="12.75">
      <c r="A27" s="1129">
        <v>19</v>
      </c>
      <c r="B27" s="1137" t="s">
        <v>737</v>
      </c>
      <c r="C27" s="1133">
        <v>2481</v>
      </c>
      <c r="D27" s="1134">
        <f>(D4/C5)*C27</f>
        <v>1654.7832640783304</v>
      </c>
      <c r="E27" s="1127">
        <v>1655</v>
      </c>
      <c r="F27" s="1128"/>
      <c r="G27" s="1093">
        <f>D27/C27*1000</f>
        <v>666.9823716559171</v>
      </c>
    </row>
    <row r="28" spans="1:7" ht="12.75" customHeight="1" hidden="1">
      <c r="A28" s="1129">
        <v>20</v>
      </c>
      <c r="B28" s="1132" t="s">
        <v>628</v>
      </c>
      <c r="C28" s="1133"/>
      <c r="D28" s="1134"/>
      <c r="E28" s="1127"/>
      <c r="F28" s="1128"/>
      <c r="G28" s="1093"/>
    </row>
    <row r="29" spans="1:7" ht="21" customHeight="1">
      <c r="A29" s="1129">
        <v>21</v>
      </c>
      <c r="B29" s="1132" t="s">
        <v>629</v>
      </c>
      <c r="C29" s="1133">
        <v>220</v>
      </c>
      <c r="D29" s="1134">
        <f>(D4/C5)*C29</f>
        <v>146.73612176430177</v>
      </c>
      <c r="E29" s="1127">
        <v>146</v>
      </c>
      <c r="F29" s="1128"/>
      <c r="G29" s="1093"/>
    </row>
    <row r="30" spans="1:7" ht="24" customHeight="1">
      <c r="A30" s="1129">
        <v>22</v>
      </c>
      <c r="B30" s="1132" t="s">
        <v>630</v>
      </c>
      <c r="C30" s="1133"/>
      <c r="D30" s="1134"/>
      <c r="E30" s="1127"/>
      <c r="F30" s="1128"/>
      <c r="G30" s="1093"/>
    </row>
    <row r="31" spans="1:9" ht="12.75">
      <c r="A31" s="1129"/>
      <c r="B31" s="1135" t="s">
        <v>631</v>
      </c>
      <c r="C31" s="1133"/>
      <c r="D31" s="1134"/>
      <c r="E31" s="1127"/>
      <c r="F31" s="1136">
        <f>SUM(E32:E35)</f>
        <v>5265</v>
      </c>
      <c r="G31" s="1093"/>
      <c r="H31" s="1128">
        <f>SUM(C32:C35)</f>
        <v>7893</v>
      </c>
      <c r="I31" s="1128">
        <f>9773-H31</f>
        <v>1880</v>
      </c>
    </row>
    <row r="32" spans="1:7" ht="12.75">
      <c r="A32" s="1129">
        <v>23</v>
      </c>
      <c r="B32" s="1132" t="s">
        <v>632</v>
      </c>
      <c r="C32" s="1133">
        <v>5157</v>
      </c>
      <c r="D32" s="1134">
        <f>(D4/C5)*C32</f>
        <v>3439.6280906295647</v>
      </c>
      <c r="E32" s="1127">
        <v>3440</v>
      </c>
      <c r="F32" s="1128"/>
      <c r="G32" s="1093">
        <f>D32/C32*1000</f>
        <v>666.9823716559171</v>
      </c>
    </row>
    <row r="33" spans="1:7" ht="12.75">
      <c r="A33" s="1129">
        <v>24</v>
      </c>
      <c r="B33" s="1132" t="s">
        <v>633</v>
      </c>
      <c r="C33" s="1133">
        <v>884</v>
      </c>
      <c r="D33" s="1134">
        <f>(D4/C5)*C33</f>
        <v>589.6124165438307</v>
      </c>
      <c r="E33" s="1127">
        <v>590</v>
      </c>
      <c r="F33" s="1128"/>
      <c r="G33" s="1093">
        <f>D33/C33*1000</f>
        <v>666.9823716559171</v>
      </c>
    </row>
    <row r="34" spans="1:7" ht="12.75">
      <c r="A34" s="1129">
        <v>25</v>
      </c>
      <c r="B34" s="1132" t="s">
        <v>634</v>
      </c>
      <c r="C34" s="1133">
        <v>58</v>
      </c>
      <c r="D34" s="1134">
        <f>(D4/C5)*C34</f>
        <v>38.684977556043194</v>
      </c>
      <c r="E34" s="1127">
        <v>39</v>
      </c>
      <c r="F34" s="1128"/>
      <c r="G34" s="1093">
        <f>D34/C34*1000</f>
        <v>666.9823716559171</v>
      </c>
    </row>
    <row r="35" spans="1:7" ht="12.75">
      <c r="A35" s="1129">
        <v>26</v>
      </c>
      <c r="B35" s="1132" t="s">
        <v>635</v>
      </c>
      <c r="C35" s="1133">
        <v>1794</v>
      </c>
      <c r="D35" s="1134">
        <f>(D4/C5)*C35</f>
        <v>1196.5663747507153</v>
      </c>
      <c r="E35" s="1127">
        <v>1196</v>
      </c>
      <c r="F35" s="1128"/>
      <c r="G35" s="1093">
        <f>D35/C35*1000</f>
        <v>666.9823716559171</v>
      </c>
    </row>
    <row r="36" spans="1:9" ht="12.75">
      <c r="A36" s="1129"/>
      <c r="B36" s="1135" t="s">
        <v>31</v>
      </c>
      <c r="C36" s="1133"/>
      <c r="D36" s="1134"/>
      <c r="E36" s="1127"/>
      <c r="F36" s="1136">
        <f>SUM(E37:E40)</f>
        <v>3136</v>
      </c>
      <c r="G36" s="1093"/>
      <c r="H36" s="1128">
        <f>SUM(C37:C40)</f>
        <v>4703</v>
      </c>
      <c r="I36" s="1128">
        <f>5830-H36</f>
        <v>1127</v>
      </c>
    </row>
    <row r="37" spans="1:7" ht="12.75">
      <c r="A37" s="1129">
        <v>27</v>
      </c>
      <c r="B37" s="1132" t="s">
        <v>636</v>
      </c>
      <c r="C37" s="1133">
        <v>3515</v>
      </c>
      <c r="D37" s="1134">
        <f>(D4/C5)*C37</f>
        <v>2344.4430363705487</v>
      </c>
      <c r="E37" s="1127">
        <v>2344</v>
      </c>
      <c r="F37" s="1128"/>
      <c r="G37" s="1093">
        <f>D37/C37*1000</f>
        <v>666.9823716559171</v>
      </c>
    </row>
    <row r="38" spans="1:7" ht="12.75">
      <c r="A38" s="1129">
        <v>28</v>
      </c>
      <c r="B38" s="1132" t="s">
        <v>637</v>
      </c>
      <c r="C38" s="1133">
        <v>840</v>
      </c>
      <c r="D38" s="1134">
        <f>(D4/C5)*C38</f>
        <v>560.2651921909704</v>
      </c>
      <c r="E38" s="1127">
        <v>560</v>
      </c>
      <c r="F38" s="1128"/>
      <c r="G38" s="1093">
        <f>D38/C38*1000</f>
        <v>666.9823716559171</v>
      </c>
    </row>
    <row r="39" spans="1:7" ht="12.75">
      <c r="A39" s="1129">
        <v>29</v>
      </c>
      <c r="B39" s="1132" t="s">
        <v>638</v>
      </c>
      <c r="C39" s="1133">
        <v>195</v>
      </c>
      <c r="D39" s="1134">
        <f>(D4/C5)*C39</f>
        <v>130.06156247290383</v>
      </c>
      <c r="E39" s="1127">
        <v>130</v>
      </c>
      <c r="F39" s="1128"/>
      <c r="G39" s="1093">
        <f>D39/C39*1000</f>
        <v>666.9823716559171</v>
      </c>
    </row>
    <row r="40" spans="1:7" ht="12.75">
      <c r="A40" s="1129">
        <v>30</v>
      </c>
      <c r="B40" s="1132" t="s">
        <v>639</v>
      </c>
      <c r="C40" s="1133">
        <v>153</v>
      </c>
      <c r="D40" s="1134">
        <f>(D4/C5)*C40</f>
        <v>102.04830286335532</v>
      </c>
      <c r="E40" s="1127">
        <v>102</v>
      </c>
      <c r="F40" s="1128"/>
      <c r="G40" s="1093">
        <f>D40/C40*1000</f>
        <v>666.9823716559171</v>
      </c>
    </row>
    <row r="41" spans="1:9" ht="12.75">
      <c r="A41" s="1129"/>
      <c r="B41" s="1135" t="s">
        <v>32</v>
      </c>
      <c r="C41" s="1133"/>
      <c r="D41" s="1134"/>
      <c r="E41" s="1127"/>
      <c r="F41" s="1136">
        <f>SUM(E42:E46)</f>
        <v>4823</v>
      </c>
      <c r="G41" s="1093"/>
      <c r="H41" s="1128">
        <f>SUM(C42:C46)</f>
        <v>7231</v>
      </c>
      <c r="I41" s="1128">
        <f>7884-H41</f>
        <v>653</v>
      </c>
    </row>
    <row r="42" spans="1:7" ht="12.75">
      <c r="A42" s="1129">
        <v>31</v>
      </c>
      <c r="B42" s="53" t="s">
        <v>640</v>
      </c>
      <c r="C42" s="1133">
        <v>4461</v>
      </c>
      <c r="D42" s="1134">
        <f>(D4/C5)*C42</f>
        <v>2975.4083599570463</v>
      </c>
      <c r="E42" s="1127">
        <v>2975</v>
      </c>
      <c r="F42" s="1128"/>
      <c r="G42" s="1093">
        <f>D42/C42*1000</f>
        <v>666.9823716559171</v>
      </c>
    </row>
    <row r="43" spans="1:7" ht="12.75" customHeight="1" hidden="1">
      <c r="A43" s="1129">
        <v>32</v>
      </c>
      <c r="B43" s="53" t="s">
        <v>641</v>
      </c>
      <c r="C43" s="1133"/>
      <c r="D43" s="1134">
        <f>(D4/C5)*C43</f>
        <v>0</v>
      </c>
      <c r="E43" s="1127"/>
      <c r="F43" s="1128"/>
      <c r="G43" s="1093"/>
    </row>
    <row r="44" spans="1:7" ht="12.75">
      <c r="A44" s="1129">
        <v>33</v>
      </c>
      <c r="B44" s="53" t="s">
        <v>642</v>
      </c>
      <c r="C44" s="1133">
        <v>2034</v>
      </c>
      <c r="D44" s="1134">
        <f>(D4/C5)*C44</f>
        <v>1356.6421439481355</v>
      </c>
      <c r="E44" s="1127">
        <v>1357</v>
      </c>
      <c r="F44" s="1128"/>
      <c r="G44" s="1093">
        <f>D44/C44*1000</f>
        <v>666.9823716559171</v>
      </c>
    </row>
    <row r="45" spans="1:7" ht="12.75">
      <c r="A45" s="1129">
        <v>34</v>
      </c>
      <c r="B45" s="53" t="s">
        <v>643</v>
      </c>
      <c r="C45" s="1133">
        <v>311</v>
      </c>
      <c r="D45" s="1134">
        <f>(D4/C5)*C45</f>
        <v>207.43151758499022</v>
      </c>
      <c r="E45" s="1127">
        <v>207</v>
      </c>
      <c r="F45" s="1128"/>
      <c r="G45" s="1093">
        <f>D45/C45*1000</f>
        <v>666.9823716559171</v>
      </c>
    </row>
    <row r="46" spans="1:7" ht="12.75">
      <c r="A46" s="1129">
        <v>35</v>
      </c>
      <c r="B46" s="53" t="s">
        <v>644</v>
      </c>
      <c r="C46" s="1133">
        <v>425</v>
      </c>
      <c r="D46" s="1134">
        <f>(D4/C5)*C46</f>
        <v>283.46750795376477</v>
      </c>
      <c r="E46" s="1127">
        <v>284</v>
      </c>
      <c r="F46" s="1128"/>
      <c r="G46" s="1093">
        <f>D46/C46*1000</f>
        <v>666.9823716559171</v>
      </c>
    </row>
    <row r="47" spans="1:9" ht="12.75">
      <c r="A47" s="1129"/>
      <c r="B47" s="1135" t="s">
        <v>33</v>
      </c>
      <c r="C47" s="1133"/>
      <c r="D47" s="1134"/>
      <c r="E47" s="1127"/>
      <c r="F47" s="1136">
        <f>SUM(E48:E53)</f>
        <v>5800</v>
      </c>
      <c r="G47" s="1093"/>
      <c r="H47" s="1128">
        <f>SUM(C48:C53)</f>
        <v>8696</v>
      </c>
      <c r="I47" s="1128">
        <f>10640-H47</f>
        <v>1944</v>
      </c>
    </row>
    <row r="48" spans="1:7" ht="12.75">
      <c r="A48" s="1129">
        <v>36</v>
      </c>
      <c r="B48" s="53" t="s">
        <v>645</v>
      </c>
      <c r="C48" s="1133">
        <v>4036</v>
      </c>
      <c r="D48" s="1134">
        <f>(D4/C5)*C48</f>
        <v>2691.9408520032816</v>
      </c>
      <c r="E48" s="1127">
        <v>2692</v>
      </c>
      <c r="F48" s="1128"/>
      <c r="G48" s="1093">
        <f aca="true" t="shared" si="1" ref="G48:G53">D48/C48*1000</f>
        <v>666.9823716559171</v>
      </c>
    </row>
    <row r="49" spans="1:7" ht="12.75">
      <c r="A49" s="1129">
        <v>37</v>
      </c>
      <c r="B49" s="53" t="s">
        <v>646</v>
      </c>
      <c r="C49" s="1133">
        <v>2522</v>
      </c>
      <c r="D49" s="1134">
        <f>(D4/C5)*C49</f>
        <v>1682.129541316223</v>
      </c>
      <c r="E49" s="1127">
        <v>1682</v>
      </c>
      <c r="F49" s="1128"/>
      <c r="G49" s="1093">
        <f t="shared" si="1"/>
        <v>666.9823716559171</v>
      </c>
    </row>
    <row r="50" spans="1:7" ht="12.75">
      <c r="A50" s="1129">
        <v>38</v>
      </c>
      <c r="B50" s="53" t="s">
        <v>647</v>
      </c>
      <c r="C50" s="1133">
        <v>1242</v>
      </c>
      <c r="D50" s="1134">
        <f>(D4/C5)*C50</f>
        <v>828.392105596649</v>
      </c>
      <c r="E50" s="1127">
        <v>828</v>
      </c>
      <c r="F50" s="1128"/>
      <c r="G50" s="1093">
        <f t="shared" si="1"/>
        <v>666.9823716559171</v>
      </c>
    </row>
    <row r="51" spans="1:7" ht="12.75">
      <c r="A51" s="1129">
        <v>39</v>
      </c>
      <c r="B51" s="53" t="s">
        <v>648</v>
      </c>
      <c r="C51" s="1133">
        <v>198</v>
      </c>
      <c r="D51" s="1134">
        <f>(D4/C5)*C51</f>
        <v>132.0625095878716</v>
      </c>
      <c r="E51" s="1127">
        <v>132</v>
      </c>
      <c r="F51" s="1128"/>
      <c r="G51" s="1093">
        <f t="shared" si="1"/>
        <v>666.9823716559172</v>
      </c>
    </row>
    <row r="52" spans="1:7" ht="12.75" customHeight="1" hidden="1">
      <c r="A52" s="1129">
        <v>40</v>
      </c>
      <c r="B52" s="53" t="s">
        <v>649</v>
      </c>
      <c r="C52" s="1133"/>
      <c r="D52" s="1134"/>
      <c r="E52" s="1127"/>
      <c r="F52" s="1128"/>
      <c r="G52" s="1093"/>
    </row>
    <row r="53" spans="1:7" ht="12.75">
      <c r="A53" s="1129">
        <v>41</v>
      </c>
      <c r="B53" s="53" t="s">
        <v>650</v>
      </c>
      <c r="C53" s="1133">
        <v>698</v>
      </c>
      <c r="D53" s="1134">
        <f>(D4/C5)*C53</f>
        <v>465.55369541583013</v>
      </c>
      <c r="E53" s="1127">
        <v>466</v>
      </c>
      <c r="F53" s="1128"/>
      <c r="G53" s="1093">
        <f t="shared" si="1"/>
        <v>666.9823716559171</v>
      </c>
    </row>
  </sheetData>
  <sheetProtection/>
  <mergeCells count="1">
    <mergeCell ref="B1:G1"/>
  </mergeCells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14"/>
  <sheetViews>
    <sheetView zoomScalePageLayoutView="0" workbookViewId="0" topLeftCell="A1">
      <selection activeCell="J26" sqref="J26"/>
    </sheetView>
  </sheetViews>
  <sheetFormatPr defaultColWidth="9.00390625" defaultRowHeight="12.75"/>
  <cols>
    <col min="1" max="1" width="17.00390625" style="0" customWidth="1"/>
    <col min="2" max="2" width="12.875" style="0" customWidth="1"/>
    <col min="3" max="3" width="13.25390625" style="0" customWidth="1"/>
    <col min="5" max="5" width="14.00390625" style="0" customWidth="1"/>
    <col min="6" max="6" width="10.875" style="0" customWidth="1"/>
    <col min="7" max="7" width="11.75390625" style="0" customWidth="1"/>
    <col min="8" max="9" width="12.00390625" style="0" customWidth="1"/>
    <col min="10" max="10" width="11.25390625" style="0" customWidth="1"/>
    <col min="11" max="11" width="11.625" style="0" customWidth="1"/>
    <col min="12" max="12" width="16.00390625" style="0" customWidth="1"/>
    <col min="13" max="13" width="13.375" style="0" customWidth="1"/>
    <col min="15" max="15" width="0" style="0" hidden="1" customWidth="1"/>
  </cols>
  <sheetData>
    <row r="1" spans="1:15" ht="72.75" customHeight="1">
      <c r="A1" s="1580" t="s">
        <v>651</v>
      </c>
      <c r="B1" s="1580"/>
      <c r="C1" s="1580"/>
      <c r="D1" s="1580"/>
      <c r="E1" s="1580"/>
      <c r="F1" s="1580"/>
      <c r="G1" s="1580"/>
      <c r="H1" s="1580"/>
      <c r="I1" s="1580"/>
      <c r="J1" s="1580"/>
      <c r="K1" s="1580"/>
      <c r="L1" s="1580"/>
      <c r="M1" s="1580"/>
      <c r="N1" s="1580"/>
      <c r="O1" s="1580"/>
    </row>
    <row r="2" spans="1:14" ht="12.75">
      <c r="A2" s="1138"/>
      <c r="B2" s="1139"/>
      <c r="C2" s="1138"/>
      <c r="D2" s="1138"/>
      <c r="E2" s="1140"/>
      <c r="F2" s="1140"/>
      <c r="G2" s="1140"/>
      <c r="H2" s="1140"/>
      <c r="I2" s="1140"/>
      <c r="J2" s="1140"/>
      <c r="K2" s="1140"/>
      <c r="L2" s="1140"/>
      <c r="M2" s="1140"/>
      <c r="N2" s="1141"/>
    </row>
    <row r="3" spans="1:15" ht="119.25" customHeight="1">
      <c r="A3" s="1142"/>
      <c r="B3" s="1143" t="s">
        <v>652</v>
      </c>
      <c r="C3" s="1144" t="s">
        <v>653</v>
      </c>
      <c r="D3" s="1145" t="s">
        <v>654</v>
      </c>
      <c r="E3" s="1144" t="s">
        <v>655</v>
      </c>
      <c r="F3" s="1143" t="s">
        <v>656</v>
      </c>
      <c r="G3" s="1143" t="s">
        <v>657</v>
      </c>
      <c r="H3" s="1146" t="s">
        <v>658</v>
      </c>
      <c r="I3" s="1147" t="s">
        <v>659</v>
      </c>
      <c r="J3" s="1148" t="s">
        <v>660</v>
      </c>
      <c r="K3" s="1148" t="s">
        <v>661</v>
      </c>
      <c r="L3" s="1148" t="s">
        <v>662</v>
      </c>
      <c r="M3" s="1148" t="s">
        <v>663</v>
      </c>
      <c r="N3" s="1149" t="s">
        <v>664</v>
      </c>
      <c r="O3" s="1267" t="s">
        <v>736</v>
      </c>
    </row>
    <row r="4" spans="1:15" ht="12.75">
      <c r="A4" s="1150"/>
      <c r="B4" s="1151"/>
      <c r="C4" s="1152"/>
      <c r="D4" s="1152"/>
      <c r="E4" s="1153"/>
      <c r="F4" s="1154"/>
      <c r="G4" s="1154"/>
      <c r="H4" s="1155"/>
      <c r="I4" s="1155"/>
      <c r="J4" s="1155"/>
      <c r="K4" s="1156"/>
      <c r="L4" s="1157"/>
      <c r="M4" s="1156"/>
      <c r="N4" s="1158"/>
      <c r="O4" s="1268"/>
    </row>
    <row r="5" spans="1:15" ht="12.75">
      <c r="A5" s="1159" t="s">
        <v>665</v>
      </c>
      <c r="B5" s="1160">
        <v>101045</v>
      </c>
      <c r="C5" s="1161">
        <v>1790277</v>
      </c>
      <c r="D5" s="1162">
        <f>(C5/B5)/(C14/B14)</f>
        <v>0.9977666624322445</v>
      </c>
      <c r="E5" s="1163">
        <v>740950</v>
      </c>
      <c r="F5" s="1164">
        <f>'[2]Дотации РФФП'!E6</f>
        <v>67395</v>
      </c>
      <c r="G5" s="1165"/>
      <c r="H5" s="1166">
        <f aca="true" t="shared" si="0" ref="H5:H13">SUM(E5:G5)</f>
        <v>808345</v>
      </c>
      <c r="I5" s="1167">
        <f>(E5/B5)/(E14/B14)</f>
        <v>1.0059474016116288</v>
      </c>
      <c r="J5" s="1167">
        <f aca="true" t="shared" si="1" ref="J5:J14">I5/D5</f>
        <v>1.0081990504267222</v>
      </c>
      <c r="K5" s="1168">
        <f>E14/B14*100</f>
        <v>728.9517802969823</v>
      </c>
      <c r="L5" s="1169">
        <v>1.954639126331795</v>
      </c>
      <c r="M5" s="1170">
        <f aca="true" t="shared" si="2" ref="M5:M13">K5*(L5-J5)*D5*B5/100-(F5+G5)</f>
        <v>628166.8277413095</v>
      </c>
      <c r="N5" s="1171">
        <v>628167</v>
      </c>
      <c r="O5" s="1269">
        <f aca="true" t="shared" si="3" ref="O5:O14">(H5+N5)/C5*100</f>
        <v>80.23965006532508</v>
      </c>
    </row>
    <row r="6" spans="1:15" ht="12.75">
      <c r="A6" s="1172" t="s">
        <v>666</v>
      </c>
      <c r="B6" s="1160">
        <v>10059</v>
      </c>
      <c r="C6" s="1133">
        <v>192915</v>
      </c>
      <c r="D6" s="1162">
        <f>(C6/B6)/(C14/B14)</f>
        <v>1.0800274016936935</v>
      </c>
      <c r="E6" s="1173">
        <v>34228</v>
      </c>
      <c r="F6" s="1174"/>
      <c r="G6" s="1174">
        <f>'[2]Дотации РФФП'!F7</f>
        <v>6710</v>
      </c>
      <c r="H6" s="1166">
        <f t="shared" si="0"/>
        <v>40938</v>
      </c>
      <c r="I6" s="1167">
        <f>(E6/B6)/(E14/B14)</f>
        <v>0.46679684730774074</v>
      </c>
      <c r="J6" s="1167">
        <f t="shared" si="1"/>
        <v>0.43220833709932943</v>
      </c>
      <c r="K6" s="1168">
        <f>E14/B14*100</f>
        <v>728.9517802969823</v>
      </c>
      <c r="L6" s="1169">
        <f aca="true" t="shared" si="4" ref="L6:L14">L5</f>
        <v>1.954639126331795</v>
      </c>
      <c r="M6" s="1170">
        <f t="shared" si="2"/>
        <v>113856.30236143048</v>
      </c>
      <c r="N6" s="1171">
        <v>113856</v>
      </c>
      <c r="O6" s="1269">
        <f t="shared" si="3"/>
        <v>80.23948371044243</v>
      </c>
    </row>
    <row r="7" spans="1:15" ht="12.75">
      <c r="A7" s="1175" t="s">
        <v>667</v>
      </c>
      <c r="B7" s="1160">
        <v>5373</v>
      </c>
      <c r="C7" s="1133">
        <f>155823-4115</f>
        <v>151708</v>
      </c>
      <c r="D7" s="1162">
        <f>(C7/B7)/(C14/B14)</f>
        <v>1.5900662792062656</v>
      </c>
      <c r="E7" s="1173">
        <v>75062</v>
      </c>
      <c r="F7" s="1174">
        <f>'[2]Дотации РФФП'!F17</f>
        <v>3584</v>
      </c>
      <c r="G7" s="1174"/>
      <c r="H7" s="1166">
        <f t="shared" si="0"/>
        <v>78646</v>
      </c>
      <c r="I7" s="1167">
        <f>(E7/B7)/(E14/B14)</f>
        <v>1.9164808777979192</v>
      </c>
      <c r="J7" s="1167">
        <f t="shared" si="1"/>
        <v>1.2052836431161815</v>
      </c>
      <c r="K7" s="1168">
        <f>E14/B14*100</f>
        <v>728.9517802969823</v>
      </c>
      <c r="L7" s="1169">
        <f t="shared" si="4"/>
        <v>1.954639126331795</v>
      </c>
      <c r="M7" s="1170">
        <f t="shared" si="2"/>
        <v>43083.95372390898</v>
      </c>
      <c r="N7" s="1171">
        <v>43084</v>
      </c>
      <c r="O7" s="1269">
        <f t="shared" si="3"/>
        <v>80.23967094681889</v>
      </c>
    </row>
    <row r="8" spans="1:15" ht="12.75">
      <c r="A8" s="1175" t="s">
        <v>668</v>
      </c>
      <c r="B8" s="1160">
        <v>2290</v>
      </c>
      <c r="C8" s="1133">
        <v>40233.7</v>
      </c>
      <c r="D8" s="1162">
        <f>(C8/B8)/(C14/B14)</f>
        <v>0.9894140565449282</v>
      </c>
      <c r="E8" s="1173">
        <v>12798</v>
      </c>
      <c r="F8" s="1174"/>
      <c r="G8" s="1174">
        <f>'[2]Дотации РФФП'!F20</f>
        <v>1486</v>
      </c>
      <c r="H8" s="1166">
        <f t="shared" si="0"/>
        <v>14284</v>
      </c>
      <c r="I8" s="1167">
        <f>(E8/B8)/(E14/B14)</f>
        <v>0.7666688578403275</v>
      </c>
      <c r="J8" s="1167">
        <f t="shared" si="1"/>
        <v>0.7748716048340414</v>
      </c>
      <c r="K8" s="1168">
        <f>E14/B14*100</f>
        <v>728.9517802969823</v>
      </c>
      <c r="L8" s="1169">
        <f t="shared" si="4"/>
        <v>1.954639126331795</v>
      </c>
      <c r="M8" s="1170">
        <f t="shared" si="2"/>
        <v>17999.37621708569</v>
      </c>
      <c r="N8" s="1171">
        <v>17999</v>
      </c>
      <c r="O8" s="1269">
        <f t="shared" si="3"/>
        <v>80.23870536391135</v>
      </c>
    </row>
    <row r="9" spans="1:15" ht="12.75">
      <c r="A9" s="1175" t="s">
        <v>669</v>
      </c>
      <c r="B9" s="1160">
        <v>2707</v>
      </c>
      <c r="C9" s="1133">
        <v>29762</v>
      </c>
      <c r="D9" s="1162">
        <f>(C9/B9)/(C14/B14)</f>
        <v>0.6191522303158283</v>
      </c>
      <c r="E9" s="1173">
        <v>16092</v>
      </c>
      <c r="F9" s="1174"/>
      <c r="G9" s="1174">
        <f>'[2]Дотации РФФП'!I26</f>
        <v>1801</v>
      </c>
      <c r="H9" s="1166">
        <f t="shared" si="0"/>
        <v>17893</v>
      </c>
      <c r="I9" s="1167">
        <f>(E9/B9)/(E14/B14)</f>
        <v>0.8154981256087066</v>
      </c>
      <c r="J9" s="1167">
        <f t="shared" si="1"/>
        <v>1.3171205491623967</v>
      </c>
      <c r="K9" s="1168">
        <f>E14/B14*100</f>
        <v>728.9517802969823</v>
      </c>
      <c r="L9" s="1169">
        <f t="shared" si="4"/>
        <v>1.954639126331795</v>
      </c>
      <c r="M9" s="1170">
        <f t="shared" si="2"/>
        <v>5987.921788771712</v>
      </c>
      <c r="N9" s="1171">
        <v>5988</v>
      </c>
      <c r="O9" s="1269">
        <f t="shared" si="3"/>
        <v>80.23990323230966</v>
      </c>
    </row>
    <row r="10" spans="1:15" ht="12.75">
      <c r="A10" s="1175" t="s">
        <v>670</v>
      </c>
      <c r="B10" s="1160">
        <v>8080</v>
      </c>
      <c r="C10" s="1133">
        <v>100678.2</v>
      </c>
      <c r="D10" s="1162">
        <f>(C10/B10)/(C14/B14)</f>
        <v>0.7016938442868433</v>
      </c>
      <c r="E10" s="1173">
        <v>62179</v>
      </c>
      <c r="F10" s="1174"/>
      <c r="G10" s="1174">
        <f>'[2]Дотации РФФП'!F31</f>
        <v>5265</v>
      </c>
      <c r="H10" s="1166">
        <f t="shared" si="0"/>
        <v>67444</v>
      </c>
      <c r="I10" s="1167">
        <f>(E10/B10)/(E14/B14)</f>
        <v>1.0556831055332654</v>
      </c>
      <c r="J10" s="1167">
        <f t="shared" si="1"/>
        <v>1.504478219566247</v>
      </c>
      <c r="K10" s="1168">
        <f>E14/B14*100</f>
        <v>728.9517802969823</v>
      </c>
      <c r="L10" s="1169">
        <f t="shared" si="4"/>
        <v>1.954639126331795</v>
      </c>
      <c r="M10" s="1170">
        <f>K10*(L10-J10)*D10*B10/100-(F10+G10)</f>
        <v>13339.825684910822</v>
      </c>
      <c r="N10" s="1171">
        <v>13340</v>
      </c>
      <c r="O10" s="1269">
        <f t="shared" si="3"/>
        <v>80.23981358427147</v>
      </c>
    </row>
    <row r="11" spans="1:15" ht="12.75">
      <c r="A11" s="1175" t="s">
        <v>671</v>
      </c>
      <c r="B11" s="1160">
        <v>4721</v>
      </c>
      <c r="C11" s="1133">
        <v>90645.9</v>
      </c>
      <c r="D11" s="1162">
        <f>(C11/B11)/(C14/B14)</f>
        <v>1.0812789540638787</v>
      </c>
      <c r="E11" s="1173">
        <v>47199</v>
      </c>
      <c r="F11" s="1174"/>
      <c r="G11" s="1174">
        <f>'[2]Дотации РФФП'!F36</f>
        <v>3136</v>
      </c>
      <c r="H11" s="1166">
        <f t="shared" si="0"/>
        <v>50335</v>
      </c>
      <c r="I11" s="1167">
        <f>(E11/B11)/(E14/B14)</f>
        <v>1.371513213274475</v>
      </c>
      <c r="J11" s="1167">
        <f t="shared" si="1"/>
        <v>1.2684175606301962</v>
      </c>
      <c r="K11" s="1168">
        <f>E14/B14*100</f>
        <v>728.9517802969823</v>
      </c>
      <c r="L11" s="1169">
        <f t="shared" si="4"/>
        <v>1.954639126331795</v>
      </c>
      <c r="M11" s="1170">
        <f>K11*(L11-J11)*D11*B11/100-(F11+G11)</f>
        <v>22398.94423670525</v>
      </c>
      <c r="N11" s="1171">
        <v>22399</v>
      </c>
      <c r="O11" s="1269">
        <f t="shared" si="3"/>
        <v>80.23970196114773</v>
      </c>
    </row>
    <row r="12" spans="1:15" ht="12.75">
      <c r="A12" s="1172" t="s">
        <v>672</v>
      </c>
      <c r="B12" s="1160">
        <v>7297</v>
      </c>
      <c r="C12" s="1133">
        <v>90223.7</v>
      </c>
      <c r="D12" s="1162">
        <f>(C12/B12)/(C14/B14)</f>
        <v>0.6963055744404728</v>
      </c>
      <c r="E12" s="1173">
        <v>40810</v>
      </c>
      <c r="F12" s="1174"/>
      <c r="G12" s="1174">
        <f>'[2]Дотации РФФП'!F41</f>
        <v>4823</v>
      </c>
      <c r="H12" s="1166">
        <f t="shared" si="0"/>
        <v>45633</v>
      </c>
      <c r="I12" s="1167">
        <f>(E12/B12)/(E14/B14)</f>
        <v>0.7672262396181971</v>
      </c>
      <c r="J12" s="1167">
        <f t="shared" si="1"/>
        <v>1.101852789609955</v>
      </c>
      <c r="K12" s="1168">
        <f>E14/B14*100</f>
        <v>728.9517802969823</v>
      </c>
      <c r="L12" s="1169">
        <f t="shared" si="4"/>
        <v>1.954639126331795</v>
      </c>
      <c r="M12" s="1170">
        <f t="shared" si="2"/>
        <v>26762.172474753123</v>
      </c>
      <c r="N12" s="1171">
        <v>26762</v>
      </c>
      <c r="O12" s="1269">
        <f t="shared" si="3"/>
        <v>80.23944927995637</v>
      </c>
    </row>
    <row r="13" spans="1:15" ht="12.75">
      <c r="A13" s="1175" t="s">
        <v>673</v>
      </c>
      <c r="B13" s="1160">
        <v>8740</v>
      </c>
      <c r="C13" s="1133">
        <v>182688.6</v>
      </c>
      <c r="D13" s="1162">
        <f>(C13/B13)/(C14/B14)</f>
        <v>1.1771277557326598</v>
      </c>
      <c r="E13" s="1173">
        <v>66384</v>
      </c>
      <c r="F13" s="1174"/>
      <c r="G13" s="1174">
        <f>'[2]Дотации РФФП'!F47</f>
        <v>5800</v>
      </c>
      <c r="H13" s="1166">
        <f t="shared" si="0"/>
        <v>72184</v>
      </c>
      <c r="I13" s="1167">
        <f>(E13/B13)/(E14/B14)</f>
        <v>1.0419651266736254</v>
      </c>
      <c r="J13" s="1167">
        <f t="shared" si="1"/>
        <v>0.8851759051634056</v>
      </c>
      <c r="K13" s="1168">
        <f>E14/B14*100</f>
        <v>728.9517802969823</v>
      </c>
      <c r="L13" s="1169">
        <f t="shared" si="4"/>
        <v>1.954639126331795</v>
      </c>
      <c r="M13" s="1170">
        <f t="shared" si="2"/>
        <v>74404.67577112424</v>
      </c>
      <c r="N13" s="1171">
        <v>74405</v>
      </c>
      <c r="O13" s="1269">
        <f t="shared" si="3"/>
        <v>80.23981791967316</v>
      </c>
    </row>
    <row r="14" spans="1:15" ht="12.75">
      <c r="A14" s="1176" t="s">
        <v>674</v>
      </c>
      <c r="B14" s="1177">
        <f>SUM(B5:B13)</f>
        <v>150312</v>
      </c>
      <c r="C14" s="1178">
        <f>SUM(C5:C13)</f>
        <v>2669132.1000000006</v>
      </c>
      <c r="D14" s="1179">
        <f>(C14/B14)/(C14/B14)</f>
        <v>1</v>
      </c>
      <c r="E14" s="1178">
        <f>SUM(E5:E13)</f>
        <v>1095702</v>
      </c>
      <c r="F14" s="1177">
        <f>SUM(F5:F13)</f>
        <v>70979</v>
      </c>
      <c r="G14" s="1177">
        <f>SUM(G6:G13)</f>
        <v>29021</v>
      </c>
      <c r="H14" s="1180">
        <f>SUM(H5:H13)</f>
        <v>1195702</v>
      </c>
      <c r="I14" s="1181">
        <f>(H14/B14)/(H14/B14)</f>
        <v>1</v>
      </c>
      <c r="J14" s="1181">
        <f t="shared" si="1"/>
        <v>1</v>
      </c>
      <c r="K14" s="1182">
        <f>E14/B14*100</f>
        <v>728.9517802969823</v>
      </c>
      <c r="L14" s="1183">
        <f t="shared" si="4"/>
        <v>1.954639126331795</v>
      </c>
      <c r="M14" s="1184">
        <f>SUM(M5:M13)</f>
        <v>945999.9999999998</v>
      </c>
      <c r="N14" s="1177">
        <f>SUM(N5:N13)</f>
        <v>946000</v>
      </c>
      <c r="O14" s="1269">
        <f t="shared" si="3"/>
        <v>80.23964044342353</v>
      </c>
    </row>
  </sheetData>
  <sheetProtection/>
  <mergeCells count="1">
    <mergeCell ref="A1:O1"/>
  </mergeCells>
  <printOptions/>
  <pageMargins left="0.7" right="0.7" top="0.75" bottom="0.75" header="0.3" footer="0.3"/>
  <pageSetup fitToHeight="0" fitToWidth="1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PageLayoutView="0" workbookViewId="0" topLeftCell="A1">
      <selection activeCell="O4" sqref="O4"/>
    </sheetView>
  </sheetViews>
  <sheetFormatPr defaultColWidth="9.00390625" defaultRowHeight="12.75"/>
  <cols>
    <col min="1" max="1" width="22.25390625" style="0" customWidth="1"/>
    <col min="2" max="2" width="19.625" style="0" customWidth="1"/>
    <col min="3" max="3" width="15.625" style="0" customWidth="1"/>
    <col min="4" max="4" width="14.25390625" style="0" customWidth="1"/>
    <col min="5" max="5" width="28.00390625" style="0" customWidth="1"/>
    <col min="6" max="6" width="21.125" style="0" customWidth="1"/>
    <col min="7" max="7" width="19.375" style="0" customWidth="1"/>
    <col min="8" max="8" width="21.125" style="0" customWidth="1"/>
    <col min="9" max="9" width="22.875" style="0" customWidth="1"/>
  </cols>
  <sheetData>
    <row r="2" spans="1:9" ht="72.75" customHeight="1">
      <c r="A2" s="1294" t="s">
        <v>570</v>
      </c>
      <c r="B2" s="1294"/>
      <c r="C2" s="1294"/>
      <c r="D2" s="1294"/>
      <c r="E2" s="1294"/>
      <c r="F2" s="1294"/>
      <c r="G2" s="1294"/>
      <c r="H2" s="1294"/>
      <c r="I2" s="1294"/>
    </row>
    <row r="4" spans="1:9" ht="255" customHeight="1">
      <c r="A4" s="1084" t="s">
        <v>571</v>
      </c>
      <c r="B4" s="1088" t="s">
        <v>572</v>
      </c>
      <c r="C4" s="1087" t="s">
        <v>573</v>
      </c>
      <c r="D4" s="1087" t="s">
        <v>574</v>
      </c>
      <c r="E4" s="1087" t="s">
        <v>575</v>
      </c>
      <c r="F4" s="1088" t="s">
        <v>576</v>
      </c>
      <c r="G4" s="1089" t="s">
        <v>603</v>
      </c>
      <c r="H4" s="1089" t="s">
        <v>604</v>
      </c>
      <c r="I4" s="1089" t="s">
        <v>605</v>
      </c>
    </row>
    <row r="5" spans="1:9" ht="12.75">
      <c r="A5" s="1085" t="s">
        <v>39</v>
      </c>
      <c r="B5" s="1079">
        <v>136755</v>
      </c>
      <c r="C5" s="1079">
        <v>0.7</v>
      </c>
      <c r="D5" s="1079">
        <v>0.8</v>
      </c>
      <c r="E5" s="1079">
        <v>0.302</v>
      </c>
      <c r="F5" s="1080">
        <f>((B5*12)*2.5*1.302)*0.2</f>
        <v>1068330.06</v>
      </c>
      <c r="G5" s="1081">
        <f>F5/1000</f>
        <v>1068.33006</v>
      </c>
      <c r="H5" s="1081">
        <f>G5</f>
        <v>1068.33006</v>
      </c>
      <c r="I5" s="1082">
        <f>H5</f>
        <v>1068.33006</v>
      </c>
    </row>
    <row r="6" spans="1:9" ht="12.75">
      <c r="A6" s="1085" t="s">
        <v>577</v>
      </c>
      <c r="B6" s="1079">
        <v>10580</v>
      </c>
      <c r="C6" s="1079">
        <v>0.7</v>
      </c>
      <c r="D6" s="1079">
        <v>0.8</v>
      </c>
      <c r="E6" s="1079">
        <v>0.302</v>
      </c>
      <c r="F6" s="1080">
        <f>((B6*12)*2.5*1.302)*0.2</f>
        <v>82650.96</v>
      </c>
      <c r="G6" s="1081">
        <f>F6/1000</f>
        <v>82.65096000000001</v>
      </c>
      <c r="H6" s="1081">
        <f>G6</f>
        <v>82.65096000000001</v>
      </c>
      <c r="I6" s="1082">
        <f>H6</f>
        <v>82.65096000000001</v>
      </c>
    </row>
    <row r="7" spans="1:9" ht="12.75">
      <c r="A7" s="1085" t="s">
        <v>578</v>
      </c>
      <c r="B7" s="1079">
        <v>21160</v>
      </c>
      <c r="C7" s="1079">
        <v>0.7</v>
      </c>
      <c r="D7" s="1079">
        <v>0.8</v>
      </c>
      <c r="E7" s="1079">
        <v>0.302</v>
      </c>
      <c r="F7" s="1080">
        <f aca="true" t="shared" si="0" ref="F7:F13">((B7*12)*2.5*1.302)*0.2</f>
        <v>165301.92</v>
      </c>
      <c r="G7" s="1081">
        <f aca="true" t="shared" si="1" ref="G7:G14">F7/1000</f>
        <v>165.30192000000002</v>
      </c>
      <c r="H7" s="1081">
        <f aca="true" t="shared" si="2" ref="H7:I14">G7</f>
        <v>165.30192000000002</v>
      </c>
      <c r="I7" s="1082">
        <f t="shared" si="2"/>
        <v>165.30192000000002</v>
      </c>
    </row>
    <row r="8" spans="1:9" ht="12.75">
      <c r="A8" s="1085" t="s">
        <v>579</v>
      </c>
      <c r="B8" s="1079">
        <v>8950</v>
      </c>
      <c r="C8" s="1079">
        <v>0.7</v>
      </c>
      <c r="D8" s="1079">
        <v>1</v>
      </c>
      <c r="E8" s="1079">
        <v>0.302</v>
      </c>
      <c r="F8" s="1080">
        <f>((B8*12)*2.7*1.302)*0.2</f>
        <v>75510.792</v>
      </c>
      <c r="G8" s="1081">
        <f t="shared" si="1"/>
        <v>75.510792</v>
      </c>
      <c r="H8" s="1081">
        <f t="shared" si="2"/>
        <v>75.510792</v>
      </c>
      <c r="I8" s="1082">
        <f t="shared" si="2"/>
        <v>75.510792</v>
      </c>
    </row>
    <row r="9" spans="1:9" ht="12.75">
      <c r="A9" s="1085" t="s">
        <v>32</v>
      </c>
      <c r="B9" s="1079">
        <v>21160</v>
      </c>
      <c r="C9" s="1079">
        <v>0.7</v>
      </c>
      <c r="D9" s="1079">
        <v>0.8</v>
      </c>
      <c r="E9" s="1079">
        <v>0.302</v>
      </c>
      <c r="F9" s="1080">
        <f>((B9*12)*2.5*1.302)*0.2</f>
        <v>165301.92</v>
      </c>
      <c r="G9" s="1081">
        <f>F9/1000</f>
        <v>165.30192000000002</v>
      </c>
      <c r="H9" s="1081">
        <f>G9</f>
        <v>165.30192000000002</v>
      </c>
      <c r="I9" s="1082">
        <f>H9</f>
        <v>165.30192000000002</v>
      </c>
    </row>
    <row r="10" spans="1:9" ht="12.75">
      <c r="A10" s="1085" t="s">
        <v>580</v>
      </c>
      <c r="B10" s="1079">
        <v>12480</v>
      </c>
      <c r="C10" s="1079">
        <v>0.7</v>
      </c>
      <c r="D10" s="1079">
        <v>0.8</v>
      </c>
      <c r="E10" s="1079">
        <v>0.302</v>
      </c>
      <c r="F10" s="1080">
        <f>((B10*12)*2.5*1.302)*0.2</f>
        <v>97493.76000000001</v>
      </c>
      <c r="G10" s="1081">
        <f>F10/1000</f>
        <v>97.49376000000001</v>
      </c>
      <c r="H10" s="1081">
        <f>G10</f>
        <v>97.49376000000001</v>
      </c>
      <c r="I10" s="1082">
        <f>H10</f>
        <v>97.49376000000001</v>
      </c>
    </row>
    <row r="11" spans="1:9" ht="12.75">
      <c r="A11" s="1085" t="s">
        <v>581</v>
      </c>
      <c r="B11" s="1079">
        <v>10850</v>
      </c>
      <c r="C11" s="1079">
        <v>0.7</v>
      </c>
      <c r="D11" s="1079">
        <v>0.8</v>
      </c>
      <c r="E11" s="1079">
        <v>0.302</v>
      </c>
      <c r="F11" s="1080">
        <f t="shared" si="0"/>
        <v>84760.20000000001</v>
      </c>
      <c r="G11" s="1081">
        <f t="shared" si="1"/>
        <v>84.76020000000001</v>
      </c>
      <c r="H11" s="1081">
        <f t="shared" si="2"/>
        <v>84.76020000000001</v>
      </c>
      <c r="I11" s="1082">
        <f t="shared" si="2"/>
        <v>84.76020000000001</v>
      </c>
    </row>
    <row r="12" spans="1:9" ht="12.75">
      <c r="A12" s="1085" t="s">
        <v>582</v>
      </c>
      <c r="B12" s="1079">
        <v>27400</v>
      </c>
      <c r="C12" s="1079">
        <v>0.7</v>
      </c>
      <c r="D12" s="1079">
        <v>0.8</v>
      </c>
      <c r="E12" s="1079">
        <v>0.302</v>
      </c>
      <c r="F12" s="1080">
        <f t="shared" si="0"/>
        <v>214048.80000000002</v>
      </c>
      <c r="G12" s="1081">
        <f t="shared" si="1"/>
        <v>214.04880000000003</v>
      </c>
      <c r="H12" s="1081">
        <f t="shared" si="2"/>
        <v>214.04880000000003</v>
      </c>
      <c r="I12" s="1082">
        <f t="shared" si="2"/>
        <v>214.04880000000003</v>
      </c>
    </row>
    <row r="13" spans="1:9" ht="12.75">
      <c r="A13" s="1085" t="s">
        <v>583</v>
      </c>
      <c r="B13" s="1079">
        <v>21160</v>
      </c>
      <c r="C13" s="1079">
        <v>0.7</v>
      </c>
      <c r="D13" s="1079">
        <v>0.8</v>
      </c>
      <c r="E13" s="1079">
        <v>0.302</v>
      </c>
      <c r="F13" s="1080">
        <f t="shared" si="0"/>
        <v>165301.92</v>
      </c>
      <c r="G13" s="1081">
        <f t="shared" si="1"/>
        <v>165.30192000000002</v>
      </c>
      <c r="H13" s="1081">
        <f t="shared" si="2"/>
        <v>165.30192000000002</v>
      </c>
      <c r="I13" s="1082">
        <f t="shared" si="2"/>
        <v>165.30192000000002</v>
      </c>
    </row>
    <row r="14" spans="1:9" s="1098" customFormat="1" ht="12.75">
      <c r="A14" s="1086" t="s">
        <v>40</v>
      </c>
      <c r="B14" s="1083">
        <f>SUM(B5:B13)</f>
        <v>270495</v>
      </c>
      <c r="C14" s="1083"/>
      <c r="D14" s="1083"/>
      <c r="E14" s="1083"/>
      <c r="F14" s="1083">
        <f>SUM(F5:F13)</f>
        <v>2118700.332</v>
      </c>
      <c r="G14" s="1096">
        <f t="shared" si="1"/>
        <v>2118.700332</v>
      </c>
      <c r="H14" s="1096">
        <f t="shared" si="2"/>
        <v>2118.700332</v>
      </c>
      <c r="I14" s="1097">
        <f t="shared" si="2"/>
        <v>2118.700332</v>
      </c>
    </row>
  </sheetData>
  <sheetProtection/>
  <mergeCells count="1">
    <mergeCell ref="A2:I2"/>
  </mergeCells>
  <printOptions/>
  <pageMargins left="0.7" right="0.7" top="0.75" bottom="0.75" header="0.3" footer="0.3"/>
  <pageSetup fitToHeight="0" fitToWidth="1" orientation="portrait" paperSize="9" scale="4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14"/>
  <sheetViews>
    <sheetView zoomScalePageLayoutView="0" workbookViewId="0" topLeftCell="A1">
      <selection activeCell="C13" sqref="C13"/>
    </sheetView>
  </sheetViews>
  <sheetFormatPr defaultColWidth="9.00390625" defaultRowHeight="12.75"/>
  <cols>
    <col min="2" max="2" width="11.00390625" style="0" customWidth="1"/>
    <col min="6" max="6" width="12.00390625" style="0" customWidth="1"/>
    <col min="7" max="7" width="12.625" style="0" customWidth="1"/>
    <col min="8" max="9" width="16.625" style="0" customWidth="1"/>
    <col min="10" max="10" width="12.75390625" style="0" customWidth="1"/>
  </cols>
  <sheetData>
    <row r="1" spans="1:11" ht="38.25" customHeight="1">
      <c r="A1" s="1581" t="s">
        <v>675</v>
      </c>
      <c r="B1" s="1581"/>
      <c r="C1" s="1581"/>
      <c r="D1" s="1581"/>
      <c r="E1" s="1581"/>
      <c r="F1" s="1581"/>
      <c r="G1" s="1581"/>
      <c r="H1" s="1581"/>
      <c r="I1" s="1581"/>
      <c r="J1" s="1581"/>
      <c r="K1" s="1185"/>
    </row>
    <row r="2" spans="1:11" ht="12.75">
      <c r="A2" s="1186"/>
      <c r="B2" s="1187"/>
      <c r="C2" s="1187"/>
      <c r="D2" s="1187"/>
      <c r="E2" s="1187"/>
      <c r="F2" s="1187"/>
      <c r="G2" s="1187"/>
      <c r="H2" s="1187"/>
      <c r="I2" s="1187"/>
      <c r="J2" s="1187"/>
      <c r="K2" s="1187"/>
    </row>
    <row r="3" spans="1:11" ht="112.5">
      <c r="A3" s="53"/>
      <c r="B3" s="1188" t="s">
        <v>676</v>
      </c>
      <c r="C3" s="1188" t="s">
        <v>677</v>
      </c>
      <c r="D3" s="1188" t="s">
        <v>678</v>
      </c>
      <c r="E3" s="1188" t="s">
        <v>679</v>
      </c>
      <c r="F3" s="1188" t="s">
        <v>680</v>
      </c>
      <c r="G3" s="1188" t="s">
        <v>681</v>
      </c>
      <c r="H3" s="1188" t="s">
        <v>682</v>
      </c>
      <c r="I3" s="1188" t="s">
        <v>683</v>
      </c>
      <c r="J3" s="1189" t="s">
        <v>684</v>
      </c>
      <c r="K3" s="1145" t="s">
        <v>664</v>
      </c>
    </row>
    <row r="4" spans="1:11" ht="12.75">
      <c r="A4" s="53"/>
      <c r="B4" s="1190"/>
      <c r="C4" s="1190"/>
      <c r="D4" s="1190"/>
      <c r="E4" s="1190"/>
      <c r="F4" s="1190"/>
      <c r="G4" s="1190"/>
      <c r="H4" s="1191"/>
      <c r="I4" s="1190"/>
      <c r="J4" s="1192"/>
      <c r="K4" s="1193"/>
    </row>
    <row r="5" spans="1:11" ht="12.75">
      <c r="A5" s="1194" t="s">
        <v>180</v>
      </c>
      <c r="B5" s="1127">
        <v>101045</v>
      </c>
      <c r="C5" s="1195">
        <v>0.596</v>
      </c>
      <c r="D5" s="1195">
        <v>1.086</v>
      </c>
      <c r="E5" s="1195">
        <f aca="true" t="shared" si="0" ref="E5:E14">C5/D5</f>
        <v>0.5488029465930018</v>
      </c>
      <c r="F5" s="1196">
        <v>1211995</v>
      </c>
      <c r="G5" s="1133">
        <f>F14/B14*1000</f>
        <v>13555.118686465486</v>
      </c>
      <c r="H5" s="1197">
        <v>0.6797735334130065</v>
      </c>
      <c r="I5" s="1198">
        <f aca="true" t="shared" si="1" ref="I5:I13">G5*(H5-E5)*D5*B5/1000</f>
        <v>194814.71228416424</v>
      </c>
      <c r="J5" s="1199">
        <v>194815</v>
      </c>
      <c r="K5" s="1200">
        <f>J5</f>
        <v>194815</v>
      </c>
    </row>
    <row r="6" spans="1:11" ht="12.75">
      <c r="A6" s="1194" t="s">
        <v>666</v>
      </c>
      <c r="B6" s="1127">
        <v>10059</v>
      </c>
      <c r="C6" s="1195">
        <v>0.011</v>
      </c>
      <c r="D6" s="1195">
        <v>1.584</v>
      </c>
      <c r="E6" s="1195">
        <f t="shared" si="0"/>
        <v>0.006944444444444444</v>
      </c>
      <c r="F6" s="1196">
        <v>76884</v>
      </c>
      <c r="G6" s="1133">
        <f>F14/B14*1000</f>
        <v>13555.118686465486</v>
      </c>
      <c r="H6" s="1197">
        <f>H5</f>
        <v>0.6797735334130065</v>
      </c>
      <c r="I6" s="1198">
        <f t="shared" si="1"/>
        <v>145317.5507171471</v>
      </c>
      <c r="J6" s="1199">
        <v>145318</v>
      </c>
      <c r="K6" s="1200">
        <f aca="true" t="shared" si="2" ref="K6:K13">J6</f>
        <v>145318</v>
      </c>
    </row>
    <row r="7" spans="1:11" ht="12.75">
      <c r="A7" s="1194" t="s">
        <v>667</v>
      </c>
      <c r="B7" s="1127">
        <v>5373</v>
      </c>
      <c r="C7" s="1195">
        <v>0.113</v>
      </c>
      <c r="D7" s="1195">
        <v>1.393</v>
      </c>
      <c r="E7" s="1195">
        <f t="shared" si="0"/>
        <v>0.08111988513998565</v>
      </c>
      <c r="F7" s="1196">
        <v>146828</v>
      </c>
      <c r="G7" s="1133">
        <f>F14/B14*1000</f>
        <v>13555.118686465486</v>
      </c>
      <c r="H7" s="1197">
        <f>H6</f>
        <v>0.6797735334130065</v>
      </c>
      <c r="I7" s="1198">
        <f t="shared" si="1"/>
        <v>60736.10189784574</v>
      </c>
      <c r="J7" s="1199">
        <v>60736</v>
      </c>
      <c r="K7" s="1200">
        <f t="shared" si="2"/>
        <v>60736</v>
      </c>
    </row>
    <row r="8" spans="1:11" ht="12.75">
      <c r="A8" s="1194" t="s">
        <v>685</v>
      </c>
      <c r="B8" s="1127">
        <v>2290</v>
      </c>
      <c r="C8" s="1195">
        <v>0.053</v>
      </c>
      <c r="D8" s="1195">
        <v>3.523</v>
      </c>
      <c r="E8" s="1195">
        <f t="shared" si="0"/>
        <v>0.01504399659381209</v>
      </c>
      <c r="F8" s="1196">
        <v>61778</v>
      </c>
      <c r="G8" s="1133">
        <f>F14/B14*1000</f>
        <v>13555.118686465486</v>
      </c>
      <c r="H8" s="1197">
        <f>H6</f>
        <v>0.6797735334130065</v>
      </c>
      <c r="I8" s="1198">
        <f t="shared" si="1"/>
        <v>72693.6418349914</v>
      </c>
      <c r="J8" s="1199">
        <v>72694</v>
      </c>
      <c r="K8" s="1200">
        <f t="shared" si="2"/>
        <v>72694</v>
      </c>
    </row>
    <row r="9" spans="1:11" ht="12.75">
      <c r="A9" s="1194" t="s">
        <v>686</v>
      </c>
      <c r="B9" s="1127">
        <v>2707</v>
      </c>
      <c r="C9" s="1195">
        <v>0.028</v>
      </c>
      <c r="D9" s="1195">
        <v>1.525</v>
      </c>
      <c r="E9" s="1195">
        <f t="shared" si="0"/>
        <v>0.018360655737704918</v>
      </c>
      <c r="F9" s="1196">
        <v>52794</v>
      </c>
      <c r="G9" s="1133">
        <f>F14/B14*1000</f>
        <v>13555.118686465486</v>
      </c>
      <c r="H9" s="1197">
        <f aca="true" t="shared" si="3" ref="H9:H14">H8</f>
        <v>0.6797735334130065</v>
      </c>
      <c r="I9" s="1198">
        <f t="shared" si="1"/>
        <v>37011.27704572026</v>
      </c>
      <c r="J9" s="1199">
        <v>37011</v>
      </c>
      <c r="K9" s="1200">
        <f t="shared" si="2"/>
        <v>37011</v>
      </c>
    </row>
    <row r="10" spans="1:11" ht="12.75">
      <c r="A10" s="1194" t="s">
        <v>687</v>
      </c>
      <c r="B10" s="1127">
        <v>8080</v>
      </c>
      <c r="C10" s="1195">
        <v>0.064</v>
      </c>
      <c r="D10" s="1195">
        <v>1.106</v>
      </c>
      <c r="E10" s="1195">
        <f t="shared" si="0"/>
        <v>0.05786618444846293</v>
      </c>
      <c r="F10" s="1196">
        <v>134104</v>
      </c>
      <c r="G10" s="1133">
        <f>F14/B14*1000</f>
        <v>13555.118686465486</v>
      </c>
      <c r="H10" s="1197">
        <f t="shared" si="3"/>
        <v>0.6797735334130065</v>
      </c>
      <c r="I10" s="1198">
        <f t="shared" si="1"/>
        <v>75334.77597085977</v>
      </c>
      <c r="J10" s="1199">
        <v>75335</v>
      </c>
      <c r="K10" s="1200">
        <f t="shared" si="2"/>
        <v>75335</v>
      </c>
    </row>
    <row r="11" spans="1:11" ht="12.75">
      <c r="A11" s="1194" t="s">
        <v>688</v>
      </c>
      <c r="B11" s="1127">
        <v>4721</v>
      </c>
      <c r="C11" s="1195">
        <v>0.221</v>
      </c>
      <c r="D11" s="1195">
        <v>1.359</v>
      </c>
      <c r="E11" s="1195">
        <f t="shared" si="0"/>
        <v>0.16261957321559972</v>
      </c>
      <c r="F11" s="1196">
        <v>170070</v>
      </c>
      <c r="G11" s="1133">
        <f>F14/B14*1000</f>
        <v>13555.118686465486</v>
      </c>
      <c r="H11" s="1197">
        <f t="shared" si="3"/>
        <v>0.6797735334130065</v>
      </c>
      <c r="I11" s="1198">
        <f t="shared" si="1"/>
        <v>44975.565891311155</v>
      </c>
      <c r="J11" s="1199">
        <v>44975</v>
      </c>
      <c r="K11" s="1200">
        <f t="shared" si="2"/>
        <v>44975</v>
      </c>
    </row>
    <row r="12" spans="1:11" ht="12.75">
      <c r="A12" s="1194" t="s">
        <v>672</v>
      </c>
      <c r="B12" s="1127">
        <v>7297</v>
      </c>
      <c r="C12" s="1195">
        <v>0.018</v>
      </c>
      <c r="D12" s="1195">
        <v>1.78</v>
      </c>
      <c r="E12" s="1195">
        <f t="shared" si="0"/>
        <v>0.010112359550561797</v>
      </c>
      <c r="F12" s="1196">
        <v>56803</v>
      </c>
      <c r="G12" s="1133">
        <f>F14/B14*1000</f>
        <v>13555.118686465486</v>
      </c>
      <c r="H12" s="1197">
        <f t="shared" si="3"/>
        <v>0.6797735334130065</v>
      </c>
      <c r="I12" s="1198">
        <f t="shared" si="1"/>
        <v>117902.43999042135</v>
      </c>
      <c r="J12" s="1199">
        <v>117902</v>
      </c>
      <c r="K12" s="1200">
        <f t="shared" si="2"/>
        <v>117902</v>
      </c>
    </row>
    <row r="13" spans="1:11" ht="12.75">
      <c r="A13" s="1194" t="s">
        <v>673</v>
      </c>
      <c r="B13" s="1127">
        <v>8740</v>
      </c>
      <c r="C13" s="1195">
        <v>0.066</v>
      </c>
      <c r="D13" s="1195">
        <v>1.298</v>
      </c>
      <c r="E13" s="1195">
        <f t="shared" si="0"/>
        <v>0.05084745762711865</v>
      </c>
      <c r="F13" s="1196">
        <v>126241</v>
      </c>
      <c r="G13" s="1133">
        <f>F14/B14*1000</f>
        <v>13555.118686465486</v>
      </c>
      <c r="H13" s="1197">
        <f t="shared" si="3"/>
        <v>0.6797735334130065</v>
      </c>
      <c r="I13" s="1198">
        <f t="shared" si="1"/>
        <v>96713.93436753887</v>
      </c>
      <c r="J13" s="1199">
        <v>96714</v>
      </c>
      <c r="K13" s="1200">
        <f t="shared" si="2"/>
        <v>96714</v>
      </c>
    </row>
    <row r="14" spans="1:11" ht="12.75">
      <c r="A14" s="1201" t="s">
        <v>689</v>
      </c>
      <c r="B14" s="1200">
        <f>SUM(B5:B13)</f>
        <v>150312</v>
      </c>
      <c r="C14" s="1202">
        <v>1</v>
      </c>
      <c r="D14" s="1202">
        <v>1</v>
      </c>
      <c r="E14" s="1203">
        <f t="shared" si="0"/>
        <v>1</v>
      </c>
      <c r="F14" s="1204">
        <f>SUM(F5:F13)</f>
        <v>2037497</v>
      </c>
      <c r="G14" s="1205">
        <f>F14/B14*1000</f>
        <v>13555.118686465486</v>
      </c>
      <c r="H14" s="1206">
        <f t="shared" si="3"/>
        <v>0.6797735334130065</v>
      </c>
      <c r="I14" s="1199">
        <f>SUM(I5:I13)</f>
        <v>845500</v>
      </c>
      <c r="J14" s="1199">
        <f>SUM(J5:J13)</f>
        <v>845500</v>
      </c>
      <c r="K14" s="1200">
        <f>SUM(K5:K13)</f>
        <v>845500</v>
      </c>
    </row>
  </sheetData>
  <sheetProtection/>
  <mergeCells count="1">
    <mergeCell ref="A1:J1"/>
  </mergeCells>
  <printOptions/>
  <pageMargins left="0.7" right="0.7" top="0.75" bottom="0.75" header="0.3" footer="0.3"/>
  <pageSetup fitToHeight="0" fitToWidth="1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15"/>
  <sheetViews>
    <sheetView zoomScalePageLayoutView="0" workbookViewId="0" topLeftCell="A1">
      <selection activeCell="M29" sqref="M29"/>
    </sheetView>
  </sheetViews>
  <sheetFormatPr defaultColWidth="9.00390625" defaultRowHeight="12.75"/>
  <cols>
    <col min="1" max="1" width="22.375" style="0" customWidth="1"/>
    <col min="2" max="2" width="11.75390625" style="0" customWidth="1"/>
    <col min="3" max="3" width="13.625" style="0" customWidth="1"/>
    <col min="4" max="4" width="12.875" style="0" customWidth="1"/>
    <col min="10" max="10" width="13.00390625" style="0" customWidth="1"/>
    <col min="11" max="11" width="15.00390625" style="0" customWidth="1"/>
    <col min="12" max="12" width="15.625" style="0" customWidth="1"/>
  </cols>
  <sheetData>
    <row r="1" spans="1:12" ht="79.5" customHeight="1">
      <c r="A1" s="1582" t="s">
        <v>690</v>
      </c>
      <c r="B1" s="1583"/>
      <c r="C1" s="1583"/>
      <c r="D1" s="1583"/>
      <c r="E1" s="1583"/>
      <c r="F1" s="1583"/>
      <c r="G1" s="1583"/>
      <c r="H1" s="1583"/>
      <c r="I1" s="1583"/>
      <c r="J1" s="1583"/>
      <c r="K1" s="1583"/>
      <c r="L1" s="1583"/>
    </row>
    <row r="2" ht="12.75">
      <c r="A2" s="1207"/>
    </row>
    <row r="3" spans="1:12" ht="12.75" customHeight="1">
      <c r="A3" s="1266"/>
      <c r="B3" s="1584"/>
      <c r="C3" s="1584"/>
      <c r="D3" s="1584"/>
      <c r="E3" s="1584"/>
      <c r="F3" s="1584"/>
      <c r="G3" s="1584"/>
      <c r="H3" s="1584"/>
      <c r="I3" s="1584"/>
      <c r="J3" s="1584"/>
      <c r="K3" s="1584"/>
      <c r="L3" s="1585" t="s">
        <v>691</v>
      </c>
    </row>
    <row r="4" spans="1:12" ht="67.5">
      <c r="A4" s="53"/>
      <c r="B4" s="1188" t="s">
        <v>692</v>
      </c>
      <c r="C4" s="1188" t="s">
        <v>693</v>
      </c>
      <c r="D4" s="1208" t="s">
        <v>694</v>
      </c>
      <c r="E4" s="1208" t="s">
        <v>695</v>
      </c>
      <c r="F4" s="1208" t="s">
        <v>696</v>
      </c>
      <c r="G4" s="1208" t="s">
        <v>697</v>
      </c>
      <c r="H4" s="1208" t="s">
        <v>698</v>
      </c>
      <c r="I4" s="1208" t="s">
        <v>699</v>
      </c>
      <c r="J4" s="1208" t="s">
        <v>700</v>
      </c>
      <c r="K4" s="1209" t="s">
        <v>701</v>
      </c>
      <c r="L4" s="1585"/>
    </row>
    <row r="5" spans="1:12" ht="12.75">
      <c r="A5" s="53"/>
      <c r="B5" s="53"/>
      <c r="C5" s="1134"/>
      <c r="D5" s="1134"/>
      <c r="E5" s="1134"/>
      <c r="F5" s="1134"/>
      <c r="G5" s="1134"/>
      <c r="H5" s="1134"/>
      <c r="I5" s="1134"/>
      <c r="J5" s="1134"/>
      <c r="K5" s="1210"/>
      <c r="L5" s="1211"/>
    </row>
    <row r="6" spans="1:12" ht="12.75">
      <c r="A6" s="1194" t="s">
        <v>180</v>
      </c>
      <c r="B6" s="1133">
        <f>'[3]06.12.2014'!R5</f>
        <v>1406810</v>
      </c>
      <c r="C6" s="1133">
        <f>'[4]06.12.2014'!O5</f>
        <v>1652289.8</v>
      </c>
      <c r="D6" s="1133">
        <f>'[5]Данные соцсферы'!E6</f>
        <v>282478</v>
      </c>
      <c r="E6" s="1196">
        <f aca="true" t="shared" si="0" ref="E6:E15">D6/C6*100</f>
        <v>17.09615347138256</v>
      </c>
      <c r="F6" s="1133">
        <f>'[5]Данные соцсферы'!C6+'[5]Данные соцсферы'!D6</f>
        <v>1330069</v>
      </c>
      <c r="G6" s="1196">
        <f aca="true" t="shared" si="1" ref="G6:G15">F6/C6*100</f>
        <v>80.49852997942612</v>
      </c>
      <c r="H6" s="1196">
        <f aca="true" t="shared" si="2" ref="H6:H15">(D6+F6)/C6*100</f>
        <v>97.59468345080869</v>
      </c>
      <c r="I6" s="1196">
        <f>(D6+F6)/B6*100</f>
        <v>114.62436292036593</v>
      </c>
      <c r="J6" s="1197">
        <v>0.7588140067109117</v>
      </c>
      <c r="K6" s="1212"/>
      <c r="L6" s="1205">
        <f>K6</f>
        <v>0</v>
      </c>
    </row>
    <row r="7" spans="1:12" ht="12.75">
      <c r="A7" s="1194" t="s">
        <v>666</v>
      </c>
      <c r="B7" s="1133">
        <f>'[3]06.12.2014'!R6</f>
        <v>222202</v>
      </c>
      <c r="C7" s="1133">
        <f>'[4]06.12.2014'!O6</f>
        <v>341540.2</v>
      </c>
      <c r="D7" s="1133">
        <f>'[5]Данные соцсферы'!E8</f>
        <v>54929</v>
      </c>
      <c r="E7" s="1196">
        <f t="shared" si="0"/>
        <v>16.082733452753146</v>
      </c>
      <c r="F7" s="1133">
        <f>'[5]Данные соцсферы'!C8+'[5]Данные соцсферы'!D8</f>
        <v>186942</v>
      </c>
      <c r="G7" s="1196">
        <f t="shared" si="1"/>
        <v>54.734991664231615</v>
      </c>
      <c r="H7" s="1196">
        <f t="shared" si="2"/>
        <v>70.81772511698476</v>
      </c>
      <c r="I7" s="1196">
        <f aca="true" t="shared" si="3" ref="I7:I15">(D7+F7)/B7*100</f>
        <v>108.85185551885222</v>
      </c>
      <c r="J7" s="1197">
        <f aca="true" t="shared" si="4" ref="J7:J15">J6</f>
        <v>0.7588140067109117</v>
      </c>
      <c r="K7" s="1212">
        <f>C7*(J7-B7/C7)</f>
        <v>36963.48761484613</v>
      </c>
      <c r="L7" s="1205">
        <v>36964</v>
      </c>
    </row>
    <row r="8" spans="1:12" ht="12.75">
      <c r="A8" s="1194" t="s">
        <v>667</v>
      </c>
      <c r="B8" s="1133">
        <f>'[3]06.12.2014'!R7</f>
        <v>207564</v>
      </c>
      <c r="C8" s="1133">
        <f>'[4]06.12.2014'!O7</f>
        <v>308461.2</v>
      </c>
      <c r="D8" s="1133">
        <f>'[5]Данные соцсферы'!E9</f>
        <v>26407</v>
      </c>
      <c r="E8" s="1196">
        <f t="shared" si="0"/>
        <v>8.560882211441829</v>
      </c>
      <c r="F8" s="1133">
        <f>'[5]Данные соцсферы'!C9+'[5]Данные соцсферы'!D9</f>
        <v>260923.9</v>
      </c>
      <c r="G8" s="1196">
        <f t="shared" si="1"/>
        <v>84.58888832695976</v>
      </c>
      <c r="H8" s="1196">
        <f t="shared" si="2"/>
        <v>93.14977053840158</v>
      </c>
      <c r="I8" s="1196">
        <f t="shared" si="3"/>
        <v>138.43002640149544</v>
      </c>
      <c r="J8" s="1197">
        <f t="shared" si="4"/>
        <v>0.7588140067109117</v>
      </c>
      <c r="K8" s="1212">
        <f>C8*(J8-B8/C8)</f>
        <v>26500.679086855896</v>
      </c>
      <c r="L8" s="1205">
        <v>26501</v>
      </c>
    </row>
    <row r="9" spans="1:12" ht="12.75">
      <c r="A9" s="1194" t="s">
        <v>685</v>
      </c>
      <c r="B9" s="1133">
        <f>'[3]06.12.2014'!R8</f>
        <v>134472</v>
      </c>
      <c r="C9" s="1133">
        <f>'[4]06.12.2014'!O8</f>
        <v>285965.3</v>
      </c>
      <c r="D9" s="1133">
        <f>'[5]Данные соцсферы'!E10</f>
        <v>19191.6</v>
      </c>
      <c r="E9" s="1196">
        <f t="shared" si="0"/>
        <v>6.711163906949549</v>
      </c>
      <c r="F9" s="1133">
        <f>'[5]Данные соцсферы'!C10+'[5]Данные соцсферы'!D10</f>
        <v>156878</v>
      </c>
      <c r="G9" s="1196">
        <f t="shared" si="1"/>
        <v>54.85910353458969</v>
      </c>
      <c r="H9" s="1196">
        <f t="shared" si="2"/>
        <v>61.57026744153924</v>
      </c>
      <c r="I9" s="1196">
        <f t="shared" si="3"/>
        <v>130.9340234398239</v>
      </c>
      <c r="J9" s="1197">
        <f t="shared" si="4"/>
        <v>0.7588140067109117</v>
      </c>
      <c r="K9" s="1212">
        <f aca="true" t="shared" si="5" ref="K9:K14">C9*(J9-B9/C9)</f>
        <v>82522.47507328786</v>
      </c>
      <c r="L9" s="1205">
        <v>82522</v>
      </c>
    </row>
    <row r="10" spans="1:12" ht="12.75">
      <c r="A10" s="1194" t="s">
        <v>686</v>
      </c>
      <c r="B10" s="1133">
        <f>'[3]06.12.2014'!R9</f>
        <v>89805</v>
      </c>
      <c r="C10" s="1133">
        <f>'[4]06.12.2014'!O9</f>
        <v>214249.2</v>
      </c>
      <c r="D10" s="1133">
        <f>'[5]Данные соцсферы'!E11</f>
        <v>18499</v>
      </c>
      <c r="E10" s="1196">
        <f t="shared" si="0"/>
        <v>8.634337957854685</v>
      </c>
      <c r="F10" s="1133">
        <f>'[5]Данные соцсферы'!C11+'[5]Данные соцсферы'!D11</f>
        <v>130695.1</v>
      </c>
      <c r="G10" s="1196">
        <f t="shared" si="1"/>
        <v>61.00144131226628</v>
      </c>
      <c r="H10" s="1196">
        <f t="shared" si="2"/>
        <v>69.63577927012096</v>
      </c>
      <c r="I10" s="1196">
        <f t="shared" si="3"/>
        <v>166.1311730972663</v>
      </c>
      <c r="J10" s="1197">
        <f t="shared" si="4"/>
        <v>0.7588140067109117</v>
      </c>
      <c r="K10" s="1212">
        <f t="shared" si="5"/>
        <v>72770.29388660747</v>
      </c>
      <c r="L10" s="1205">
        <v>72770</v>
      </c>
    </row>
    <row r="11" spans="1:12" ht="12.75">
      <c r="A11" s="1194" t="s">
        <v>687</v>
      </c>
      <c r="B11" s="1133">
        <f>'[3]06.12.2014'!R10</f>
        <v>209439</v>
      </c>
      <c r="C11" s="1133">
        <f>'[4]06.12.2014'!O10</f>
        <v>341640.1</v>
      </c>
      <c r="D11" s="1133">
        <f>'[5]Данные соцсферы'!E12</f>
        <v>25813.4</v>
      </c>
      <c r="E11" s="1196">
        <f t="shared" si="0"/>
        <v>7.555728967413369</v>
      </c>
      <c r="F11" s="1133">
        <f>'[5]Данные соцсферы'!C12+'[5]Данные соцсферы'!D12</f>
        <v>217805</v>
      </c>
      <c r="G11" s="1196">
        <f t="shared" si="1"/>
        <v>63.752762044034064</v>
      </c>
      <c r="H11" s="1196">
        <f t="shared" si="2"/>
        <v>71.30849101144743</v>
      </c>
      <c r="I11" s="1196">
        <f t="shared" si="3"/>
        <v>116.31950114353104</v>
      </c>
      <c r="J11" s="1197">
        <f t="shared" si="4"/>
        <v>0.7588140067109117</v>
      </c>
      <c r="K11" s="1212">
        <f t="shared" si="5"/>
        <v>49802.293134116524</v>
      </c>
      <c r="L11" s="1205">
        <v>49802</v>
      </c>
    </row>
    <row r="12" spans="1:12" ht="12.75">
      <c r="A12" s="1194" t="s">
        <v>688</v>
      </c>
      <c r="B12" s="1133">
        <f>'[3]06.12.2014'!R11</f>
        <v>215045</v>
      </c>
      <c r="C12" s="1133">
        <f>'[4]06.12.2014'!O11</f>
        <v>209050.9</v>
      </c>
      <c r="D12" s="1133">
        <f>'[5]Данные соцсферы'!E13</f>
        <v>29754.7</v>
      </c>
      <c r="E12" s="1196">
        <f t="shared" si="0"/>
        <v>14.233232193690629</v>
      </c>
      <c r="F12" s="1133">
        <f>'[5]Данные соцсферы'!C13+'[5]Данные соцсферы'!D13</f>
        <v>123883</v>
      </c>
      <c r="G12" s="1196">
        <f t="shared" si="1"/>
        <v>59.25973052495828</v>
      </c>
      <c r="H12" s="1196">
        <f t="shared" si="2"/>
        <v>73.49296271864891</v>
      </c>
      <c r="I12" s="1196">
        <f t="shared" si="3"/>
        <v>71.44444186100584</v>
      </c>
      <c r="J12" s="1197">
        <f t="shared" si="4"/>
        <v>0.7588140067109117</v>
      </c>
      <c r="K12" s="1212"/>
      <c r="L12" s="1205"/>
    </row>
    <row r="13" spans="1:12" ht="12.75">
      <c r="A13" s="1194" t="s">
        <v>672</v>
      </c>
      <c r="B13" s="1133">
        <f>'[3]06.12.2014'!R12</f>
        <v>174705</v>
      </c>
      <c r="C13" s="1133">
        <f>'[4]06.12.2014'!O12</f>
        <v>292096.7</v>
      </c>
      <c r="D13" s="1133">
        <f>'[5]Данные соцсферы'!E14</f>
        <v>52219.9</v>
      </c>
      <c r="E13" s="1196">
        <f t="shared" si="0"/>
        <v>17.87760697056831</v>
      </c>
      <c r="F13" s="1133">
        <f>'[5]Данные соцсферы'!C14+'[5]Данные соцсферы'!D14</f>
        <v>161229</v>
      </c>
      <c r="G13" s="1196">
        <f t="shared" si="1"/>
        <v>55.197131634831884</v>
      </c>
      <c r="H13" s="1196">
        <f t="shared" si="2"/>
        <v>73.07473860540019</v>
      </c>
      <c r="I13" s="1196">
        <f t="shared" si="3"/>
        <v>122.17675510145673</v>
      </c>
      <c r="J13" s="1197">
        <f t="shared" si="4"/>
        <v>0.7588140067109117</v>
      </c>
      <c r="K13" s="1212">
        <f t="shared" si="5"/>
        <v>46942.06727403518</v>
      </c>
      <c r="L13" s="1205">
        <v>46942</v>
      </c>
    </row>
    <row r="14" spans="1:12" ht="12.75">
      <c r="A14" s="1194" t="s">
        <v>673</v>
      </c>
      <c r="B14" s="1133">
        <f>'[3]06.12.2014'!R13</f>
        <v>222955</v>
      </c>
      <c r="C14" s="1133">
        <f>'[4]06.12.2014'!O13</f>
        <v>547504</v>
      </c>
      <c r="D14" s="1133">
        <f>'[5]Данные соцсферы'!E15</f>
        <v>50616.2</v>
      </c>
      <c r="E14" s="1196">
        <f t="shared" si="0"/>
        <v>9.244900493877669</v>
      </c>
      <c r="F14" s="1133">
        <f>'[5]Данные соцсферы'!C15+'[5]Данные соцсферы'!D15</f>
        <v>267547</v>
      </c>
      <c r="G14" s="1196">
        <f t="shared" si="1"/>
        <v>48.866674946667054</v>
      </c>
      <c r="H14" s="1196">
        <f t="shared" si="2"/>
        <v>58.111575440544726</v>
      </c>
      <c r="I14" s="1196">
        <f t="shared" si="3"/>
        <v>142.70287726222782</v>
      </c>
      <c r="J14" s="1197">
        <f t="shared" si="4"/>
        <v>0.7588140067109117</v>
      </c>
      <c r="K14" s="1212">
        <f t="shared" si="5"/>
        <v>192498.70393025098</v>
      </c>
      <c r="L14" s="1205">
        <v>192499</v>
      </c>
    </row>
    <row r="15" spans="1:12" ht="12.75">
      <c r="A15" s="1213" t="s">
        <v>689</v>
      </c>
      <c r="B15" s="1205">
        <f>SUM(B6:B14)</f>
        <v>2882997</v>
      </c>
      <c r="C15" s="1205">
        <f>SUM(C6:C14)</f>
        <v>4192797.4000000004</v>
      </c>
      <c r="D15" s="1205">
        <f>SUM(D6:D14)</f>
        <v>559908.8</v>
      </c>
      <c r="E15" s="1113">
        <f t="shared" si="0"/>
        <v>13.354062850735406</v>
      </c>
      <c r="F15" s="1205">
        <f>SUM(F6:F14)</f>
        <v>2835972</v>
      </c>
      <c r="G15" s="1113">
        <f t="shared" si="1"/>
        <v>67.63913753619481</v>
      </c>
      <c r="H15" s="1113">
        <f t="shared" si="2"/>
        <v>80.99320038693021</v>
      </c>
      <c r="I15" s="1113">
        <f t="shared" si="3"/>
        <v>117.7899526083447</v>
      </c>
      <c r="J15" s="1206">
        <f t="shared" si="4"/>
        <v>0.7588140067109117</v>
      </c>
      <c r="K15" s="1199">
        <f>SUM(K6:K14)</f>
        <v>508000</v>
      </c>
      <c r="L15" s="1199">
        <f>SUM(L6:L14)</f>
        <v>508000</v>
      </c>
    </row>
  </sheetData>
  <sheetProtection/>
  <mergeCells count="3">
    <mergeCell ref="A1:L1"/>
    <mergeCell ref="B3:K3"/>
    <mergeCell ref="L3:L4"/>
  </mergeCells>
  <printOptions/>
  <pageMargins left="0.7" right="0.7" top="0.75" bottom="0.75" header="0.3" footer="0.3"/>
  <pageSetup fitToHeight="0" fitToWidth="1" orientation="portrait" paperSize="9" scale="5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15"/>
  <sheetViews>
    <sheetView zoomScalePageLayoutView="0" workbookViewId="0" topLeftCell="A1">
      <selection activeCell="T17" sqref="T17"/>
    </sheetView>
  </sheetViews>
  <sheetFormatPr defaultColWidth="9.00390625" defaultRowHeight="12.75"/>
  <cols>
    <col min="1" max="1" width="14.875" style="0" customWidth="1"/>
    <col min="2" max="2" width="13.375" style="0" customWidth="1"/>
    <col min="3" max="3" width="13.00390625" style="0" customWidth="1"/>
    <col min="5" max="5" width="16.25390625" style="0" customWidth="1"/>
    <col min="6" max="6" width="12.25390625" style="0" customWidth="1"/>
    <col min="7" max="7" width="13.875" style="0" customWidth="1"/>
    <col min="8" max="8" width="12.25390625" style="0" customWidth="1"/>
    <col min="9" max="9" width="15.125" style="0" customWidth="1"/>
    <col min="11" max="11" width="11.625" style="0" customWidth="1"/>
    <col min="12" max="14" width="0" style="0" hidden="1" customWidth="1"/>
  </cols>
  <sheetData>
    <row r="1" spans="1:13" ht="56.25" customHeight="1">
      <c r="A1" s="1582" t="s">
        <v>702</v>
      </c>
      <c r="B1" s="1582"/>
      <c r="C1" s="1582"/>
      <c r="D1" s="1582"/>
      <c r="E1" s="1582"/>
      <c r="F1" s="1582"/>
      <c r="G1" s="1582"/>
      <c r="H1" s="1582"/>
      <c r="I1" s="1582"/>
      <c r="J1" s="1582"/>
      <c r="K1" s="1582"/>
      <c r="L1" s="1582"/>
      <c r="M1" s="1582"/>
    </row>
    <row r="2" spans="1:4" ht="12.75">
      <c r="A2" s="1207"/>
      <c r="B2" s="1207"/>
      <c r="C2" s="1207"/>
      <c r="D2" s="1186"/>
    </row>
    <row r="3" spans="1:13" ht="12.75" customHeight="1">
      <c r="A3" s="53"/>
      <c r="B3" s="1586" t="s">
        <v>703</v>
      </c>
      <c r="C3" s="1586"/>
      <c r="D3" s="1586"/>
      <c r="E3" s="1586"/>
      <c r="F3" s="1586"/>
      <c r="G3" s="1586"/>
      <c r="H3" s="1586"/>
      <c r="I3" s="1586"/>
      <c r="J3" s="1587" t="s">
        <v>704</v>
      </c>
      <c r="K3" s="1589" t="s">
        <v>705</v>
      </c>
      <c r="L3" s="1270"/>
      <c r="M3" s="94"/>
    </row>
    <row r="4" spans="1:13" ht="112.5">
      <c r="A4" s="53"/>
      <c r="B4" s="1214" t="s">
        <v>680</v>
      </c>
      <c r="C4" s="1214" t="s">
        <v>706</v>
      </c>
      <c r="D4" s="1214" t="s">
        <v>707</v>
      </c>
      <c r="E4" s="1215" t="s">
        <v>708</v>
      </c>
      <c r="F4" s="1188" t="s">
        <v>693</v>
      </c>
      <c r="G4" s="1216" t="s">
        <v>709</v>
      </c>
      <c r="H4" s="1209" t="s">
        <v>710</v>
      </c>
      <c r="I4" s="1217" t="s">
        <v>711</v>
      </c>
      <c r="J4" s="1588"/>
      <c r="K4" s="1589"/>
      <c r="L4" s="45" t="s">
        <v>738</v>
      </c>
      <c r="M4" s="45" t="s">
        <v>739</v>
      </c>
    </row>
    <row r="5" spans="1:13" ht="12.75">
      <c r="A5" s="53"/>
      <c r="B5" s="1153"/>
      <c r="C5" s="1153"/>
      <c r="D5" s="1153"/>
      <c r="E5" s="53"/>
      <c r="F5" s="1134"/>
      <c r="G5" s="1134"/>
      <c r="H5" s="1218">
        <v>100000</v>
      </c>
      <c r="I5" s="1111"/>
      <c r="J5" s="53"/>
      <c r="K5" s="53"/>
      <c r="L5" s="53"/>
      <c r="M5" s="53"/>
    </row>
    <row r="6" spans="1:13" ht="12.75">
      <c r="A6" s="1194" t="s">
        <v>180</v>
      </c>
      <c r="B6" s="1196">
        <f>'[3]06.12.2014'!F5</f>
        <v>1211995</v>
      </c>
      <c r="C6" s="1168">
        <f>'[3]06.12.2014'!M5</f>
        <v>194815</v>
      </c>
      <c r="D6" s="1168">
        <f>'[5]Расчет'!L6</f>
        <v>0</v>
      </c>
      <c r="E6" s="1196">
        <f aca="true" t="shared" si="0" ref="E6:E14">SUM(B6:D6)</f>
        <v>1406810</v>
      </c>
      <c r="F6" s="1133">
        <f>'[1]01.12.2014'!O5</f>
        <v>1652289.8</v>
      </c>
      <c r="G6" s="1197">
        <v>0.8017056460881302</v>
      </c>
      <c r="H6" s="1212"/>
      <c r="I6" s="1205"/>
      <c r="J6" s="1205"/>
      <c r="K6" s="1205">
        <f aca="true" t="shared" si="1" ref="K6:K14">I6+J6</f>
        <v>0</v>
      </c>
      <c r="L6" s="1271">
        <f aca="true" t="shared" si="2" ref="L6:L15">E6/F6*100</f>
        <v>85.14305420271916</v>
      </c>
      <c r="M6" s="1119">
        <f aca="true" t="shared" si="3" ref="M6:M15">(E6+I6)/F6*100</f>
        <v>85.14305420271916</v>
      </c>
    </row>
    <row r="7" spans="1:13" ht="12.75">
      <c r="A7" s="1194" t="s">
        <v>666</v>
      </c>
      <c r="B7" s="1196">
        <f>'[3]06.12.2014'!F6</f>
        <v>76884</v>
      </c>
      <c r="C7" s="1168">
        <f>'[3]06.12.2014'!M6</f>
        <v>145318</v>
      </c>
      <c r="D7" s="1168">
        <f>'[5]Расчет'!L7</f>
        <v>36964</v>
      </c>
      <c r="E7" s="1196">
        <f t="shared" si="0"/>
        <v>259166</v>
      </c>
      <c r="F7" s="1133">
        <f>'[1]01.12.2014'!O6</f>
        <v>341540.2</v>
      </c>
      <c r="G7" s="1197">
        <f aca="true" t="shared" si="4" ref="G7:G15">G6</f>
        <v>0.8017056460881302</v>
      </c>
      <c r="H7" s="1212">
        <f aca="true" t="shared" si="5" ref="H7:H14">F7*(G7-E7/F7)</f>
        <v>14648.706706069237</v>
      </c>
      <c r="I7" s="1205">
        <v>14649</v>
      </c>
      <c r="J7" s="1205"/>
      <c r="K7" s="1205">
        <f t="shared" si="1"/>
        <v>14649</v>
      </c>
      <c r="L7" s="1271">
        <f t="shared" si="2"/>
        <v>75.88155069300772</v>
      </c>
      <c r="M7" s="1119">
        <f t="shared" si="3"/>
        <v>80.17065048272501</v>
      </c>
    </row>
    <row r="8" spans="1:13" ht="12.75">
      <c r="A8" s="1194" t="s">
        <v>667</v>
      </c>
      <c r="B8" s="1196">
        <f>'[3]06.12.2014'!F7</f>
        <v>146828</v>
      </c>
      <c r="C8" s="1168">
        <f>'[3]06.12.2014'!M7</f>
        <v>60736</v>
      </c>
      <c r="D8" s="1168">
        <f>'[5]Расчет'!L8</f>
        <v>26501</v>
      </c>
      <c r="E8" s="1196">
        <f t="shared" si="0"/>
        <v>234065</v>
      </c>
      <c r="F8" s="1133">
        <f>'[1]01.12.2014'!O7</f>
        <v>308461.2</v>
      </c>
      <c r="G8" s="1197">
        <f t="shared" si="4"/>
        <v>0.8017056460881302</v>
      </c>
      <c r="H8" s="1212">
        <f t="shared" si="5"/>
        <v>13230.085639119967</v>
      </c>
      <c r="I8" s="1205">
        <v>13231</v>
      </c>
      <c r="J8" s="1205"/>
      <c r="K8" s="1205">
        <f t="shared" si="1"/>
        <v>13231</v>
      </c>
      <c r="L8" s="1271">
        <f t="shared" si="2"/>
        <v>75.88150470788545</v>
      </c>
      <c r="M8" s="1119">
        <f t="shared" si="3"/>
        <v>80.17086103535874</v>
      </c>
    </row>
    <row r="9" spans="1:13" ht="12.75">
      <c r="A9" s="1194" t="s">
        <v>685</v>
      </c>
      <c r="B9" s="1196">
        <f>'[3]06.12.2014'!F8</f>
        <v>61778</v>
      </c>
      <c r="C9" s="1168">
        <f>'[3]06.12.2014'!M8</f>
        <v>72694</v>
      </c>
      <c r="D9" s="1168">
        <f>'[5]Расчет'!L9</f>
        <v>82522</v>
      </c>
      <c r="E9" s="1196">
        <f t="shared" si="0"/>
        <v>216994</v>
      </c>
      <c r="F9" s="1133">
        <f>'[1]01.12.2014'!O8</f>
        <v>285965.3</v>
      </c>
      <c r="G9" s="1197">
        <f t="shared" si="4"/>
        <v>0.8017056460881302</v>
      </c>
      <c r="H9" s="1212">
        <f t="shared" si="5"/>
        <v>12265.995595285978</v>
      </c>
      <c r="I9" s="1205">
        <v>12265</v>
      </c>
      <c r="J9" s="1205"/>
      <c r="K9" s="1205">
        <f t="shared" si="1"/>
        <v>12265</v>
      </c>
      <c r="L9" s="1271">
        <f t="shared" si="2"/>
        <v>75.88123454139367</v>
      </c>
      <c r="M9" s="1119">
        <f>(E9+I9)/F9*100</f>
        <v>80.17021645633228</v>
      </c>
    </row>
    <row r="10" spans="1:13" ht="12.75">
      <c r="A10" s="1194" t="s">
        <v>686</v>
      </c>
      <c r="B10" s="1196">
        <f>'[3]06.12.2014'!F9</f>
        <v>52794</v>
      </c>
      <c r="C10" s="1168">
        <f>'[3]06.12.2014'!M9</f>
        <v>37011</v>
      </c>
      <c r="D10" s="1168">
        <f>'[5]Расчет'!L10</f>
        <v>72770</v>
      </c>
      <c r="E10" s="1196">
        <f t="shared" si="0"/>
        <v>162575</v>
      </c>
      <c r="F10" s="1133">
        <f>'[1]01.12.2014'!O9</f>
        <v>214249.2</v>
      </c>
      <c r="G10" s="1197">
        <f t="shared" si="4"/>
        <v>0.8017056460881302</v>
      </c>
      <c r="H10" s="1212">
        <f t="shared" si="5"/>
        <v>9189.793309865046</v>
      </c>
      <c r="I10" s="1205">
        <v>9190</v>
      </c>
      <c r="J10" s="1205"/>
      <c r="K10" s="1205">
        <f t="shared" si="1"/>
        <v>9190</v>
      </c>
      <c r="L10" s="1271">
        <f t="shared" si="2"/>
        <v>75.88126350063384</v>
      </c>
      <c r="M10" s="1119">
        <f t="shared" si="3"/>
        <v>80.17066108064815</v>
      </c>
    </row>
    <row r="11" spans="1:13" ht="12.75">
      <c r="A11" s="1194" t="s">
        <v>687</v>
      </c>
      <c r="B11" s="1196">
        <f>'[3]06.12.2014'!F10</f>
        <v>134104</v>
      </c>
      <c r="C11" s="1168">
        <f>'[3]06.12.2014'!M10</f>
        <v>75335</v>
      </c>
      <c r="D11" s="1168">
        <f>'[5]Расчет'!L11</f>
        <v>49802</v>
      </c>
      <c r="E11" s="1196">
        <f t="shared" si="0"/>
        <v>259241</v>
      </c>
      <c r="F11" s="1133">
        <f>'[1]01.12.2014'!O10</f>
        <v>341640.1</v>
      </c>
      <c r="G11" s="1197">
        <f t="shared" si="4"/>
        <v>0.8017056460881302</v>
      </c>
      <c r="H11" s="1212">
        <f t="shared" si="5"/>
        <v>14653.797100113397</v>
      </c>
      <c r="I11" s="1205">
        <v>14653</v>
      </c>
      <c r="J11" s="1205"/>
      <c r="K11" s="1205">
        <f t="shared" si="1"/>
        <v>14653</v>
      </c>
      <c r="L11" s="1271">
        <f t="shared" si="2"/>
        <v>75.88131486906836</v>
      </c>
      <c r="M11" s="1119">
        <f t="shared" si="3"/>
        <v>80.17033129307714</v>
      </c>
    </row>
    <row r="12" spans="1:13" ht="12.75">
      <c r="A12" s="1194" t="s">
        <v>688</v>
      </c>
      <c r="B12" s="1196">
        <f>'[3]06.12.2014'!F11</f>
        <v>170070</v>
      </c>
      <c r="C12" s="1168">
        <f>'[3]06.12.2014'!M11</f>
        <v>44975</v>
      </c>
      <c r="D12" s="1168">
        <f>'[5]Расчет'!L12</f>
        <v>0</v>
      </c>
      <c r="E12" s="1196">
        <f t="shared" si="0"/>
        <v>215045</v>
      </c>
      <c r="F12" s="1133">
        <f>'[1]01.12.2014'!O11</f>
        <v>209050.9</v>
      </c>
      <c r="G12" s="1197">
        <f t="shared" si="4"/>
        <v>0.8017056460881302</v>
      </c>
      <c r="H12" s="1212"/>
      <c r="I12" s="1205"/>
      <c r="J12" s="1205"/>
      <c r="K12" s="1205">
        <f t="shared" si="1"/>
        <v>0</v>
      </c>
      <c r="L12" s="1271">
        <f t="shared" si="2"/>
        <v>102.86729212837639</v>
      </c>
      <c r="M12" s="1119">
        <f t="shared" si="3"/>
        <v>102.86729212837639</v>
      </c>
    </row>
    <row r="13" spans="1:13" ht="12.75">
      <c r="A13" s="1194" t="s">
        <v>672</v>
      </c>
      <c r="B13" s="1196">
        <f>'[3]06.12.2014'!F12</f>
        <v>56803</v>
      </c>
      <c r="C13" s="1168">
        <f>'[3]06.12.2014'!M12</f>
        <v>117902</v>
      </c>
      <c r="D13" s="1168">
        <f>'[5]Расчет'!L13</f>
        <v>46942</v>
      </c>
      <c r="E13" s="1196">
        <f t="shared" si="0"/>
        <v>221647</v>
      </c>
      <c r="F13" s="1133">
        <f>'[1]01.12.2014'!O12</f>
        <v>292096.7</v>
      </c>
      <c r="G13" s="1197">
        <f t="shared" si="4"/>
        <v>0.8017056460881302</v>
      </c>
      <c r="H13" s="1212">
        <f t="shared" si="5"/>
        <v>12528.573593710762</v>
      </c>
      <c r="I13" s="1205">
        <v>12529</v>
      </c>
      <c r="J13" s="1205"/>
      <c r="K13" s="1205">
        <f t="shared" si="1"/>
        <v>12529</v>
      </c>
      <c r="L13" s="1271">
        <f t="shared" si="2"/>
        <v>75.88137763966522</v>
      </c>
      <c r="M13" s="1119">
        <f t="shared" si="3"/>
        <v>80.17071059002035</v>
      </c>
    </row>
    <row r="14" spans="1:13" ht="12.75">
      <c r="A14" s="1194" t="s">
        <v>673</v>
      </c>
      <c r="B14" s="1196">
        <f>'[3]06.12.2014'!F13</f>
        <v>126241</v>
      </c>
      <c r="C14" s="1168">
        <f>'[3]06.12.2014'!M13</f>
        <v>96714</v>
      </c>
      <c r="D14" s="1168">
        <f>'[5]Расчет'!L14</f>
        <v>192499</v>
      </c>
      <c r="E14" s="1196">
        <f t="shared" si="0"/>
        <v>415454</v>
      </c>
      <c r="F14" s="1133">
        <f>'[1]01.12.2014'!O13</f>
        <v>547504</v>
      </c>
      <c r="G14" s="1197">
        <f t="shared" si="4"/>
        <v>0.8017056460881302</v>
      </c>
      <c r="H14" s="1212">
        <f t="shared" si="5"/>
        <v>23483.04805583565</v>
      </c>
      <c r="I14" s="1205">
        <v>23483</v>
      </c>
      <c r="J14" s="1205"/>
      <c r="K14" s="1205">
        <f t="shared" si="1"/>
        <v>23483</v>
      </c>
      <c r="L14" s="1271">
        <f t="shared" si="2"/>
        <v>75.88145474736258</v>
      </c>
      <c r="M14" s="1119">
        <f t="shared" si="3"/>
        <v>80.17055583155556</v>
      </c>
    </row>
    <row r="15" spans="1:13" ht="12.75">
      <c r="A15" s="1213" t="s">
        <v>689</v>
      </c>
      <c r="B15" s="1219">
        <f>SUM(B6:B14)</f>
        <v>2037497</v>
      </c>
      <c r="C15" s="1220">
        <f>SUM(C6:C14)</f>
        <v>845500</v>
      </c>
      <c r="D15" s="1220">
        <f>SUM(D6:D14)</f>
        <v>508000</v>
      </c>
      <c r="E15" s="1113">
        <f>SUM(E6:E14)</f>
        <v>3390997</v>
      </c>
      <c r="F15" s="1205">
        <f>SUM(F6:F14)</f>
        <v>4192797.4000000004</v>
      </c>
      <c r="G15" s="1206">
        <f t="shared" si="4"/>
        <v>0.8017056460881302</v>
      </c>
      <c r="H15" s="1199">
        <f>SUM(H6:H14)</f>
        <v>100000.00000000004</v>
      </c>
      <c r="I15" s="1205">
        <f>SUM(I6:I14)</f>
        <v>100000</v>
      </c>
      <c r="J15" s="1205">
        <v>100000</v>
      </c>
      <c r="K15" s="1205">
        <f>SUM(K6:K14)</f>
        <v>100000</v>
      </c>
      <c r="L15" s="1113">
        <f t="shared" si="2"/>
        <v>80.87671968123239</v>
      </c>
      <c r="M15" s="1113">
        <f t="shared" si="3"/>
        <v>83.26176218292827</v>
      </c>
    </row>
  </sheetData>
  <sheetProtection/>
  <mergeCells count="4">
    <mergeCell ref="B3:I3"/>
    <mergeCell ref="J3:J4"/>
    <mergeCell ref="K3:K4"/>
    <mergeCell ref="A1:M1"/>
  </mergeCells>
  <printOptions/>
  <pageMargins left="0.7" right="0.7" top="0.75" bottom="0.75" header="0.3" footer="0.3"/>
  <pageSetup fitToHeight="0" fitToWidth="1" orientation="portrait" paperSize="9" scale="6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K27"/>
  <sheetViews>
    <sheetView tabSelected="1" zoomScalePageLayoutView="0" workbookViewId="0" topLeftCell="A1">
      <selection activeCell="L18" sqref="L18"/>
    </sheetView>
  </sheetViews>
  <sheetFormatPr defaultColWidth="9.00390625" defaultRowHeight="12.75"/>
  <cols>
    <col min="1" max="1" width="31.00390625" style="1286" customWidth="1"/>
    <col min="2" max="2" width="17.125" style="1272" customWidth="1"/>
    <col min="3" max="3" width="14.875" style="1272" customWidth="1"/>
    <col min="4" max="4" width="21.125" style="1272" customWidth="1"/>
    <col min="5" max="5" width="14.625" style="1274" customWidth="1"/>
    <col min="6" max="6" width="15.125" style="1274" customWidth="1"/>
    <col min="7" max="7" width="20.00390625" style="1274" customWidth="1"/>
    <col min="8" max="8" width="17.75390625" style="1274" customWidth="1"/>
    <col min="9" max="9" width="16.125" style="1274" customWidth="1"/>
    <col min="10" max="10" width="19.125" style="1273" customWidth="1"/>
    <col min="11" max="11" width="17.75390625" style="1275" customWidth="1"/>
    <col min="12" max="16384" width="9.125" style="1272" customWidth="1"/>
  </cols>
  <sheetData>
    <row r="2" ht="15.75">
      <c r="B2" s="1273" t="s">
        <v>712</v>
      </c>
    </row>
    <row r="4" spans="1:11" s="1276" customFormat="1" ht="74.25" customHeight="1">
      <c r="A4" s="1590" t="s">
        <v>713</v>
      </c>
      <c r="B4" s="1592" t="s">
        <v>714</v>
      </c>
      <c r="C4" s="1593"/>
      <c r="D4" s="1594"/>
      <c r="E4" s="1222" t="s">
        <v>715</v>
      </c>
      <c r="F4" s="1223"/>
      <c r="G4" s="1224"/>
      <c r="H4" s="1595" t="s">
        <v>716</v>
      </c>
      <c r="I4" s="1596"/>
      <c r="J4" s="1597" t="s">
        <v>717</v>
      </c>
      <c r="K4" s="1597" t="s">
        <v>717</v>
      </c>
    </row>
    <row r="5" spans="1:11" s="1225" customFormat="1" ht="81.75" customHeight="1">
      <c r="A5" s="1591"/>
      <c r="B5" s="1221" t="s">
        <v>718</v>
      </c>
      <c r="C5" s="1221" t="s">
        <v>719</v>
      </c>
      <c r="D5" s="1221" t="s">
        <v>720</v>
      </c>
      <c r="E5" s="1221" t="s">
        <v>718</v>
      </c>
      <c r="F5" s="1221" t="s">
        <v>719</v>
      </c>
      <c r="G5" s="1221" t="s">
        <v>721</v>
      </c>
      <c r="H5" s="1221" t="s">
        <v>718</v>
      </c>
      <c r="I5" s="1221" t="s">
        <v>719</v>
      </c>
      <c r="J5" s="1598"/>
      <c r="K5" s="1599"/>
    </row>
    <row r="6" spans="1:11" s="1274" customFormat="1" ht="15.75">
      <c r="A6" s="1287">
        <v>1</v>
      </c>
      <c r="B6" s="1277">
        <v>2</v>
      </c>
      <c r="C6" s="1277">
        <v>3</v>
      </c>
      <c r="D6" s="1221">
        <v>4</v>
      </c>
      <c r="E6" s="1277">
        <v>5</v>
      </c>
      <c r="F6" s="1277">
        <v>6</v>
      </c>
      <c r="G6" s="1221">
        <v>7</v>
      </c>
      <c r="H6" s="1277">
        <v>8</v>
      </c>
      <c r="I6" s="1277">
        <v>9</v>
      </c>
      <c r="J6" s="1265">
        <v>10</v>
      </c>
      <c r="K6" s="1278">
        <v>11</v>
      </c>
    </row>
    <row r="7" spans="1:11" ht="15.75">
      <c r="A7" s="1288" t="s">
        <v>39</v>
      </c>
      <c r="B7" s="1285">
        <v>870895</v>
      </c>
      <c r="C7" s="1285">
        <v>189724</v>
      </c>
      <c r="D7" s="1285">
        <f aca="true" t="shared" si="0" ref="D7:D15">SUM(B7:C7)</f>
        <v>1060619</v>
      </c>
      <c r="E7" s="1279">
        <f>B7/$D$16</f>
        <v>0.5012426020141997</v>
      </c>
      <c r="F7" s="1279">
        <f>C7/$D$16</f>
        <v>0.1091954270314355</v>
      </c>
      <c r="G7" s="1279">
        <f>D7/$D$16</f>
        <v>0.6104380290456352</v>
      </c>
      <c r="H7" s="1279">
        <f>'[6]НДФЛ'!B8</f>
        <v>0.9395861771626365</v>
      </c>
      <c r="I7" s="1279">
        <f>'[6]ЕНВД'!B8</f>
        <v>1.1453295155128997</v>
      </c>
      <c r="J7" s="1279">
        <f>E7*H7+F7*I7</f>
        <v>0.596025365795713</v>
      </c>
      <c r="K7" s="1280">
        <f>J7</f>
        <v>0.596025365795713</v>
      </c>
    </row>
    <row r="8" spans="1:11" ht="15.75">
      <c r="A8" s="1288" t="s">
        <v>0</v>
      </c>
      <c r="B8" s="1285">
        <v>40572.6</v>
      </c>
      <c r="C8" s="1285">
        <v>7487</v>
      </c>
      <c r="D8" s="1285">
        <f t="shared" si="0"/>
        <v>48059.6</v>
      </c>
      <c r="E8" s="1279">
        <f aca="true" t="shared" si="1" ref="E8:G16">B8/$D$16</f>
        <v>0.02335151263295956</v>
      </c>
      <c r="F8" s="1279">
        <f t="shared" si="1"/>
        <v>0.004309134122116114</v>
      </c>
      <c r="G8" s="1279">
        <f t="shared" si="1"/>
        <v>0.027660646755075676</v>
      </c>
      <c r="H8" s="1279">
        <f>'[6]НДФЛ'!B9</f>
        <v>0.37053452666156833</v>
      </c>
      <c r="I8" s="1279">
        <f>'[6]ЕНВД'!B9</f>
        <v>0.5776449719064304</v>
      </c>
      <c r="J8" s="1279">
        <f aca="true" t="shared" si="2" ref="J8:J15">E8*H8+F8*I8</f>
        <v>0.011141691339196107</v>
      </c>
      <c r="K8" s="1280">
        <f aca="true" t="shared" si="3" ref="K8:K16">J8</f>
        <v>0.011141691339196107</v>
      </c>
    </row>
    <row r="9" spans="1:11" ht="20.25" customHeight="1">
      <c r="A9" s="1288" t="s">
        <v>479</v>
      </c>
      <c r="B9" s="1285">
        <v>95539.7</v>
      </c>
      <c r="C9" s="1285">
        <v>10347.2</v>
      </c>
      <c r="D9" s="1285">
        <f t="shared" si="0"/>
        <v>105886.9</v>
      </c>
      <c r="E9" s="1279">
        <f t="shared" si="1"/>
        <v>0.05498776296069679</v>
      </c>
      <c r="F9" s="1279">
        <f t="shared" si="1"/>
        <v>0.0059553188978709575</v>
      </c>
      <c r="G9" s="1279">
        <f t="shared" si="1"/>
        <v>0.06094308185856775</v>
      </c>
      <c r="H9" s="1279">
        <f>'[6]НДФЛ'!B10</f>
        <v>1.9384412660862196</v>
      </c>
      <c r="I9" s="1279">
        <f>'[6]ЕНВД'!B10</f>
        <v>1.1069647538262288</v>
      </c>
      <c r="J9" s="1279">
        <f t="shared" si="2"/>
        <v>0.11318287697052043</v>
      </c>
      <c r="K9" s="1280">
        <f t="shared" si="3"/>
        <v>0.11318287697052043</v>
      </c>
    </row>
    <row r="10" spans="1:11" ht="15.75">
      <c r="A10" s="1288" t="s">
        <v>1</v>
      </c>
      <c r="B10" s="1285">
        <v>52947.8</v>
      </c>
      <c r="C10" s="1285">
        <v>876</v>
      </c>
      <c r="D10" s="1285">
        <f t="shared" si="0"/>
        <v>53823.8</v>
      </c>
      <c r="E10" s="1279">
        <f t="shared" si="1"/>
        <v>0.030474044566712915</v>
      </c>
      <c r="F10" s="1279">
        <f t="shared" si="1"/>
        <v>0.0005041807788131048</v>
      </c>
      <c r="G10" s="1279">
        <f t="shared" si="1"/>
        <v>0.03097822534552602</v>
      </c>
      <c r="H10" s="1279">
        <f>'[6]НДФЛ'!B11</f>
        <v>1.7446529290594612</v>
      </c>
      <c r="I10" s="1279">
        <f>'[6]ЕНВД'!B11</f>
        <v>0.22962817882322137</v>
      </c>
      <c r="J10" s="1279">
        <f t="shared" si="2"/>
        <v>0.05328240522764078</v>
      </c>
      <c r="K10" s="1280">
        <f t="shared" si="3"/>
        <v>0.05328240522764078</v>
      </c>
    </row>
    <row r="11" spans="1:11" ht="15.75">
      <c r="A11" s="1288" t="s">
        <v>3</v>
      </c>
      <c r="B11" s="1285">
        <v>40486.92751798095</v>
      </c>
      <c r="C11" s="1285">
        <v>3134.5</v>
      </c>
      <c r="D11" s="1285">
        <f t="shared" si="0"/>
        <v>43621.42751798095</v>
      </c>
      <c r="E11" s="1279">
        <f t="shared" si="1"/>
        <v>0.023302203935805205</v>
      </c>
      <c r="F11" s="1279">
        <f t="shared" si="1"/>
        <v>0.001804057820992782</v>
      </c>
      <c r="G11" s="1279">
        <f t="shared" si="1"/>
        <v>0.025106261756797987</v>
      </c>
      <c r="H11" s="1279">
        <f>'[6]НДФЛ'!B12</f>
        <v>1.1533253998237276</v>
      </c>
      <c r="I11" s="1279">
        <f>'[6]ЕНВД'!B12</f>
        <v>0.6916645158855996</v>
      </c>
      <c r="J11" s="1279">
        <f t="shared" si="2"/>
        <v>0.02812282645042318</v>
      </c>
      <c r="K11" s="1280">
        <f>J11</f>
        <v>0.02812282645042318</v>
      </c>
    </row>
    <row r="12" spans="1:11" ht="15.75">
      <c r="A12" s="1288" t="s">
        <v>36</v>
      </c>
      <c r="B12" s="1285">
        <v>94961.7</v>
      </c>
      <c r="C12" s="1285">
        <v>12600</v>
      </c>
      <c r="D12" s="1285">
        <f t="shared" si="0"/>
        <v>107561.7</v>
      </c>
      <c r="E12" s="1279">
        <f t="shared" si="1"/>
        <v>0.054655095734493626</v>
      </c>
      <c r="F12" s="1279">
        <f t="shared" si="1"/>
        <v>0.007251915311695343</v>
      </c>
      <c r="G12" s="1279">
        <f t="shared" si="1"/>
        <v>0.06190701104618897</v>
      </c>
      <c r="H12" s="1279">
        <f>'[6]НДФЛ'!B13</f>
        <v>1.0461638705124032</v>
      </c>
      <c r="I12" s="1279">
        <f>'[6]ЕНВД'!B13</f>
        <v>0.9228221846830557</v>
      </c>
      <c r="J12" s="1279">
        <f t="shared" si="2"/>
        <v>0.06387041482789899</v>
      </c>
      <c r="K12" s="1280">
        <f t="shared" si="3"/>
        <v>0.06387041482789899</v>
      </c>
    </row>
    <row r="13" spans="1:11" ht="15.75">
      <c r="A13" s="1288" t="s">
        <v>31</v>
      </c>
      <c r="B13" s="1285">
        <v>153179.1</v>
      </c>
      <c r="C13" s="1285">
        <v>4660</v>
      </c>
      <c r="D13" s="1285">
        <f t="shared" si="0"/>
        <v>157839.1</v>
      </c>
      <c r="E13" s="1279">
        <f t="shared" si="1"/>
        <v>0.08816205243823112</v>
      </c>
      <c r="F13" s="1279">
        <f t="shared" si="1"/>
        <v>0.002682057567658754</v>
      </c>
      <c r="G13" s="1279">
        <f t="shared" si="1"/>
        <v>0.09084411000588988</v>
      </c>
      <c r="H13" s="1279">
        <f>'[6]НДФЛ'!B14</f>
        <v>2.4895915613452337</v>
      </c>
      <c r="I13" s="1279">
        <f>'[6]ЕНВД'!B14</f>
        <v>0.5182460869325486</v>
      </c>
      <c r="J13" s="1279">
        <f t="shared" si="2"/>
        <v>0.22087746762046317</v>
      </c>
      <c r="K13" s="1280">
        <f t="shared" si="3"/>
        <v>0.22087746762046317</v>
      </c>
    </row>
    <row r="14" spans="1:11" ht="15.75">
      <c r="A14" s="1288" t="s">
        <v>32</v>
      </c>
      <c r="B14" s="1285">
        <v>41259.9</v>
      </c>
      <c r="C14" s="1285">
        <v>9186</v>
      </c>
      <c r="D14" s="1285">
        <f t="shared" si="0"/>
        <v>50445.9</v>
      </c>
      <c r="E14" s="1279">
        <f t="shared" si="1"/>
        <v>0.023747087346747516</v>
      </c>
      <c r="F14" s="1279">
        <f t="shared" si="1"/>
        <v>0.005286991591526462</v>
      </c>
      <c r="G14" s="1279">
        <f t="shared" si="1"/>
        <v>0.029034078938273977</v>
      </c>
      <c r="H14" s="1279">
        <f>'[6]НДФЛ'!B15</f>
        <v>0.599890679086369</v>
      </c>
      <c r="I14" s="1279">
        <f>'[6]ЕНВД'!B15</f>
        <v>0.7350297085123575</v>
      </c>
      <c r="J14" s="1279">
        <f t="shared" si="2"/>
        <v>0.018131752243190667</v>
      </c>
      <c r="K14" s="1280">
        <f t="shared" si="3"/>
        <v>0.018131752243190667</v>
      </c>
    </row>
    <row r="15" spans="1:11" ht="15.75">
      <c r="A15" s="1288" t="s">
        <v>33</v>
      </c>
      <c r="B15" s="1285">
        <v>101614.6</v>
      </c>
      <c r="C15" s="1285">
        <v>8000</v>
      </c>
      <c r="D15" s="1285">
        <f t="shared" si="0"/>
        <v>109614.6</v>
      </c>
      <c r="E15" s="1279">
        <f t="shared" si="1"/>
        <v>0.058484164573952196</v>
      </c>
      <c r="F15" s="1279">
        <f t="shared" si="1"/>
        <v>0.004604390674092281</v>
      </c>
      <c r="G15" s="1279">
        <f t="shared" si="1"/>
        <v>0.06308855524804448</v>
      </c>
      <c r="H15" s="1279">
        <f>'[6]НДФЛ'!B16</f>
        <v>1.090158789155395</v>
      </c>
      <c r="I15" s="1279">
        <f>'[6]ЕНВД'!B16</f>
        <v>0.5902960554478391</v>
      </c>
      <c r="J15" s="1279">
        <f t="shared" si="2"/>
        <v>0.06647497968936207</v>
      </c>
      <c r="K15" s="1280">
        <f t="shared" si="3"/>
        <v>0.06647497968936207</v>
      </c>
    </row>
    <row r="16" spans="1:11" s="1273" customFormat="1" ht="15.75">
      <c r="A16" s="1289" t="s">
        <v>722</v>
      </c>
      <c r="B16" s="1281">
        <f aca="true" t="shared" si="4" ref="B16:J16">SUM(B7:B15)</f>
        <v>1491457.327517981</v>
      </c>
      <c r="C16" s="1281">
        <f t="shared" si="4"/>
        <v>246014.7</v>
      </c>
      <c r="D16" s="1281">
        <f t="shared" si="4"/>
        <v>1737472.0275179811</v>
      </c>
      <c r="E16" s="1282">
        <f t="shared" si="4"/>
        <v>0.8584065262037985</v>
      </c>
      <c r="F16" s="1282">
        <f t="shared" si="4"/>
        <v>0.14159347379620127</v>
      </c>
      <c r="G16" s="1282">
        <f t="shared" si="1"/>
        <v>1</v>
      </c>
      <c r="H16" s="1282">
        <f t="shared" si="4"/>
        <v>11.372345198893015</v>
      </c>
      <c r="I16" s="1282">
        <f t="shared" si="4"/>
        <v>6.517625971530181</v>
      </c>
      <c r="J16" s="1282">
        <f t="shared" si="4"/>
        <v>1.1711097801644084</v>
      </c>
      <c r="K16" s="1280">
        <f t="shared" si="3"/>
        <v>1.1711097801644084</v>
      </c>
    </row>
    <row r="18" spans="2:4" ht="15.75">
      <c r="B18" s="1283"/>
      <c r="C18" s="1283"/>
      <c r="D18" s="1283"/>
    </row>
    <row r="19" spans="2:4" ht="15.75">
      <c r="B19" s="1284"/>
      <c r="C19" s="1284"/>
      <c r="D19" s="1284"/>
    </row>
    <row r="27" spans="8:9" ht="15.75">
      <c r="H27" s="1275"/>
      <c r="I27" s="1275"/>
    </row>
  </sheetData>
  <sheetProtection/>
  <mergeCells count="5">
    <mergeCell ref="A4:A5"/>
    <mergeCell ref="B4:D4"/>
    <mergeCell ref="H4:I4"/>
    <mergeCell ref="J4:J5"/>
    <mergeCell ref="K4:K5"/>
  </mergeCells>
  <printOptions/>
  <pageMargins left="0.7" right="0.7" top="0.75" bottom="0.75" header="0.3" footer="0.3"/>
  <pageSetup fitToHeight="1" fitToWidth="1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1"/>
  <sheetViews>
    <sheetView zoomScalePageLayoutView="0" workbookViewId="0" topLeftCell="A166">
      <selection activeCell="P166" sqref="P166"/>
    </sheetView>
  </sheetViews>
  <sheetFormatPr defaultColWidth="9.00390625" defaultRowHeight="12.75"/>
  <cols>
    <col min="1" max="1" width="52.125" style="1" customWidth="1"/>
    <col min="2" max="2" width="9.875" style="1" customWidth="1"/>
    <col min="3" max="3" width="12.875" style="1" customWidth="1"/>
    <col min="4" max="4" width="9.625" style="1" customWidth="1"/>
    <col min="5" max="6" width="11.375" style="1" bestFit="1" customWidth="1"/>
    <col min="7" max="7" width="10.375" style="1" bestFit="1" customWidth="1"/>
    <col min="8" max="8" width="11.125" style="1" customWidth="1"/>
    <col min="9" max="9" width="11.375" style="1" bestFit="1" customWidth="1"/>
    <col min="10" max="10" width="10.375" style="1" customWidth="1"/>
    <col min="11" max="11" width="10.75390625" style="1" customWidth="1"/>
    <col min="12" max="12" width="29.00390625" style="3" hidden="1" customWidth="1"/>
    <col min="13" max="14" width="1.625" style="1" customWidth="1"/>
    <col min="15" max="16384" width="9.125" style="1" customWidth="1"/>
  </cols>
  <sheetData>
    <row r="1" spans="1:12" ht="37.5" customHeight="1">
      <c r="A1" s="1295" t="s">
        <v>148</v>
      </c>
      <c r="B1" s="1295"/>
      <c r="C1" s="1295"/>
      <c r="D1" s="1295"/>
      <c r="E1" s="1295"/>
      <c r="F1" s="1295"/>
      <c r="G1" s="1295"/>
      <c r="H1" s="1295"/>
      <c r="I1" s="1295"/>
      <c r="J1" s="1295"/>
      <c r="K1" s="1295"/>
      <c r="L1" s="129"/>
    </row>
    <row r="2" ht="12">
      <c r="K2" s="2" t="s">
        <v>4</v>
      </c>
    </row>
    <row r="3" spans="1:12" ht="36">
      <c r="A3" s="7" t="s">
        <v>5</v>
      </c>
      <c r="B3" s="7" t="s">
        <v>2</v>
      </c>
      <c r="C3" s="698" t="s">
        <v>163</v>
      </c>
      <c r="D3" s="4" t="s">
        <v>0</v>
      </c>
      <c r="E3" s="4" t="s">
        <v>59</v>
      </c>
      <c r="F3" s="4" t="s">
        <v>58</v>
      </c>
      <c r="G3" s="4" t="s">
        <v>478</v>
      </c>
      <c r="H3" s="4" t="s">
        <v>479</v>
      </c>
      <c r="I3" s="4" t="s">
        <v>57</v>
      </c>
      <c r="J3" s="4" t="s">
        <v>1</v>
      </c>
      <c r="K3" s="4" t="s">
        <v>33</v>
      </c>
      <c r="L3" s="4" t="s">
        <v>6</v>
      </c>
    </row>
    <row r="4" spans="1:12" s="146" customFormat="1" ht="12">
      <c r="A4" s="8" t="s">
        <v>149</v>
      </c>
      <c r="B4" s="100">
        <f>SUM(C4:K4)</f>
        <v>20909</v>
      </c>
      <c r="C4" s="101">
        <v>8944</v>
      </c>
      <c r="D4" s="101">
        <v>1851</v>
      </c>
      <c r="E4" s="101">
        <v>1839</v>
      </c>
      <c r="F4" s="101">
        <v>1534</v>
      </c>
      <c r="G4" s="101">
        <v>1153</v>
      </c>
      <c r="H4" s="101">
        <v>1195</v>
      </c>
      <c r="I4" s="101">
        <v>1868</v>
      </c>
      <c r="J4" s="101">
        <v>171</v>
      </c>
      <c r="K4" s="101">
        <v>2354</v>
      </c>
      <c r="L4" s="145" t="s">
        <v>150</v>
      </c>
    </row>
    <row r="5" spans="1:12" s="146" customFormat="1" ht="12">
      <c r="A5" s="9" t="s">
        <v>14</v>
      </c>
      <c r="B5" s="102">
        <f>SUM(C5:K5)</f>
        <v>10799.511912</v>
      </c>
      <c r="C5" s="103">
        <f aca="true" t="shared" si="0" ref="C5:K5">C19+C32+C46+C59</f>
        <v>2966.4976319999996</v>
      </c>
      <c r="D5" s="103">
        <f t="shared" si="0"/>
        <v>1044.401904</v>
      </c>
      <c r="E5" s="103">
        <f t="shared" si="0"/>
        <v>1044.401904</v>
      </c>
      <c r="F5" s="103">
        <f t="shared" si="0"/>
        <v>1044.401904</v>
      </c>
      <c r="G5" s="103">
        <f t="shared" si="0"/>
        <v>1044.401904</v>
      </c>
      <c r="H5" s="103">
        <f t="shared" si="0"/>
        <v>1044.401904</v>
      </c>
      <c r="I5" s="103">
        <f t="shared" si="0"/>
        <v>1044.401904</v>
      </c>
      <c r="J5" s="103">
        <f t="shared" si="0"/>
        <v>522.200952</v>
      </c>
      <c r="K5" s="103">
        <f t="shared" si="0"/>
        <v>1044.401904</v>
      </c>
      <c r="L5" s="10"/>
    </row>
    <row r="6" spans="1:12" s="146" customFormat="1" ht="12">
      <c r="A6" s="5" t="s">
        <v>15</v>
      </c>
      <c r="B6" s="103">
        <f>SUM(C6:K6)</f>
        <v>10.5</v>
      </c>
      <c r="C6" s="104">
        <f aca="true" t="shared" si="1" ref="C6:K6">C8+C21</f>
        <v>3</v>
      </c>
      <c r="D6" s="104">
        <f t="shared" si="1"/>
        <v>1</v>
      </c>
      <c r="E6" s="104">
        <v>1</v>
      </c>
      <c r="F6" s="104">
        <v>1</v>
      </c>
      <c r="G6" s="104">
        <v>1</v>
      </c>
      <c r="H6" s="104">
        <v>1</v>
      </c>
      <c r="I6" s="104">
        <v>1</v>
      </c>
      <c r="J6" s="104">
        <f t="shared" si="1"/>
        <v>0.5</v>
      </c>
      <c r="K6" s="104">
        <f t="shared" si="1"/>
        <v>1</v>
      </c>
      <c r="L6" s="10"/>
    </row>
    <row r="7" spans="1:12" s="146" customFormat="1" ht="12.75" thickBot="1">
      <c r="A7" s="11" t="s">
        <v>16</v>
      </c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"/>
    </row>
    <row r="8" spans="1:12" s="148" customFormat="1" ht="12">
      <c r="A8" s="12" t="s">
        <v>475</v>
      </c>
      <c r="B8" s="107">
        <f>SUM(C8:K8)</f>
        <v>8.5</v>
      </c>
      <c r="C8" s="108">
        <v>1</v>
      </c>
      <c r="D8" s="108">
        <v>1</v>
      </c>
      <c r="E8" s="108">
        <v>1</v>
      </c>
      <c r="F8" s="108">
        <v>1</v>
      </c>
      <c r="G8" s="108">
        <v>1</v>
      </c>
      <c r="H8" s="108">
        <v>1</v>
      </c>
      <c r="I8" s="108">
        <v>1</v>
      </c>
      <c r="J8" s="108">
        <v>0.5</v>
      </c>
      <c r="K8" s="109">
        <v>1</v>
      </c>
      <c r="L8" s="147"/>
    </row>
    <row r="9" spans="1:12" s="146" customFormat="1" ht="12">
      <c r="A9" s="13" t="s">
        <v>17</v>
      </c>
      <c r="B9" s="103"/>
      <c r="C9" s="104">
        <f>5.806</f>
        <v>5.806</v>
      </c>
      <c r="D9" s="104">
        <f aca="true" t="shared" si="2" ref="D9:K9">5.806</f>
        <v>5.806</v>
      </c>
      <c r="E9" s="104">
        <f t="shared" si="2"/>
        <v>5.806</v>
      </c>
      <c r="F9" s="104">
        <f t="shared" si="2"/>
        <v>5.806</v>
      </c>
      <c r="G9" s="104">
        <f t="shared" si="2"/>
        <v>5.806</v>
      </c>
      <c r="H9" s="104">
        <f t="shared" si="2"/>
        <v>5.806</v>
      </c>
      <c r="I9" s="104">
        <f t="shared" si="2"/>
        <v>5.806</v>
      </c>
      <c r="J9" s="104">
        <f t="shared" si="2"/>
        <v>5.806</v>
      </c>
      <c r="K9" s="104">
        <f t="shared" si="2"/>
        <v>5.806</v>
      </c>
      <c r="L9" s="149"/>
    </row>
    <row r="10" spans="1:12" s="146" customFormat="1" ht="12">
      <c r="A10" s="13" t="s">
        <v>18</v>
      </c>
      <c r="B10" s="103"/>
      <c r="C10" s="110">
        <f>C9*0.6</f>
        <v>3.4836</v>
      </c>
      <c r="D10" s="110">
        <f aca="true" t="shared" si="3" ref="D10:K10">D9*0.6</f>
        <v>3.4836</v>
      </c>
      <c r="E10" s="110">
        <f t="shared" si="3"/>
        <v>3.4836</v>
      </c>
      <c r="F10" s="110">
        <f t="shared" si="3"/>
        <v>3.4836</v>
      </c>
      <c r="G10" s="110">
        <f t="shared" si="3"/>
        <v>3.4836</v>
      </c>
      <c r="H10" s="110">
        <f t="shared" si="3"/>
        <v>3.4836</v>
      </c>
      <c r="I10" s="110">
        <f t="shared" si="3"/>
        <v>3.4836</v>
      </c>
      <c r="J10" s="110">
        <f t="shared" si="3"/>
        <v>3.4836</v>
      </c>
      <c r="K10" s="110">
        <f t="shared" si="3"/>
        <v>3.4836</v>
      </c>
      <c r="L10" s="149"/>
    </row>
    <row r="11" spans="1:12" s="146" customFormat="1" ht="12">
      <c r="A11" s="13" t="s">
        <v>9</v>
      </c>
      <c r="B11" s="103"/>
      <c r="C11" s="104">
        <f>C9*0.3</f>
        <v>1.7418</v>
      </c>
      <c r="D11" s="104">
        <f aca="true" t="shared" si="4" ref="D11:K11">D9*0.3</f>
        <v>1.7418</v>
      </c>
      <c r="E11" s="104">
        <f t="shared" si="4"/>
        <v>1.7418</v>
      </c>
      <c r="F11" s="104">
        <f t="shared" si="4"/>
        <v>1.7418</v>
      </c>
      <c r="G11" s="104">
        <f t="shared" si="4"/>
        <v>1.7418</v>
      </c>
      <c r="H11" s="104">
        <f t="shared" si="4"/>
        <v>1.7418</v>
      </c>
      <c r="I11" s="104">
        <f t="shared" si="4"/>
        <v>1.7418</v>
      </c>
      <c r="J11" s="104">
        <f t="shared" si="4"/>
        <v>1.7418</v>
      </c>
      <c r="K11" s="104">
        <f t="shared" si="4"/>
        <v>1.7418</v>
      </c>
      <c r="L11" s="149"/>
    </row>
    <row r="12" spans="1:12" s="146" customFormat="1" ht="14.25" customHeight="1">
      <c r="A12" s="13" t="s">
        <v>10</v>
      </c>
      <c r="B12" s="103"/>
      <c r="C12" s="110">
        <v>1.192</v>
      </c>
      <c r="D12" s="110">
        <v>1.192</v>
      </c>
      <c r="E12" s="110">
        <v>1.192</v>
      </c>
      <c r="F12" s="110">
        <v>1.192</v>
      </c>
      <c r="G12" s="110">
        <v>1.192</v>
      </c>
      <c r="H12" s="110">
        <v>1.192</v>
      </c>
      <c r="I12" s="110">
        <v>1.192</v>
      </c>
      <c r="J12" s="110">
        <v>1.192</v>
      </c>
      <c r="K12" s="110">
        <v>1.192</v>
      </c>
      <c r="L12" s="150">
        <v>1.192</v>
      </c>
    </row>
    <row r="13" spans="1:12" s="146" customFormat="1" ht="12">
      <c r="A13" s="13" t="s">
        <v>124</v>
      </c>
      <c r="B13" s="103"/>
      <c r="C13" s="110">
        <f>C9*2</f>
        <v>11.612</v>
      </c>
      <c r="D13" s="110">
        <f aca="true" t="shared" si="5" ref="D13:K13">D9*2</f>
        <v>11.612</v>
      </c>
      <c r="E13" s="110">
        <f t="shared" si="5"/>
        <v>11.612</v>
      </c>
      <c r="F13" s="110">
        <f t="shared" si="5"/>
        <v>11.612</v>
      </c>
      <c r="G13" s="110">
        <f t="shared" si="5"/>
        <v>11.612</v>
      </c>
      <c r="H13" s="110">
        <f t="shared" si="5"/>
        <v>11.612</v>
      </c>
      <c r="I13" s="110">
        <f t="shared" si="5"/>
        <v>11.612</v>
      </c>
      <c r="J13" s="110">
        <f t="shared" si="5"/>
        <v>11.612</v>
      </c>
      <c r="K13" s="110">
        <f t="shared" si="5"/>
        <v>11.612</v>
      </c>
      <c r="L13" s="149"/>
    </row>
    <row r="14" spans="1:12" s="146" customFormat="1" ht="12">
      <c r="A14" s="13" t="s">
        <v>11</v>
      </c>
      <c r="B14" s="103"/>
      <c r="C14" s="110">
        <f>C9*0.25</f>
        <v>1.4515</v>
      </c>
      <c r="D14" s="110">
        <f aca="true" t="shared" si="6" ref="D14:K14">D9*0.25</f>
        <v>1.4515</v>
      </c>
      <c r="E14" s="110">
        <f t="shared" si="6"/>
        <v>1.4515</v>
      </c>
      <c r="F14" s="110">
        <f t="shared" si="6"/>
        <v>1.4515</v>
      </c>
      <c r="G14" s="110">
        <f t="shared" si="6"/>
        <v>1.4515</v>
      </c>
      <c r="H14" s="110">
        <f t="shared" si="6"/>
        <v>1.4515</v>
      </c>
      <c r="I14" s="110">
        <f t="shared" si="6"/>
        <v>1.4515</v>
      </c>
      <c r="J14" s="110">
        <f t="shared" si="6"/>
        <v>1.4515</v>
      </c>
      <c r="K14" s="110">
        <f t="shared" si="6"/>
        <v>1.4515</v>
      </c>
      <c r="L14" s="149"/>
    </row>
    <row r="15" spans="1:12" s="146" customFormat="1" ht="36">
      <c r="A15" s="13" t="s">
        <v>19</v>
      </c>
      <c r="B15" s="103"/>
      <c r="C15" s="110">
        <f>C9*0.25</f>
        <v>1.4515</v>
      </c>
      <c r="D15" s="110">
        <f aca="true" t="shared" si="7" ref="D15:K15">D9*0.25</f>
        <v>1.4515</v>
      </c>
      <c r="E15" s="110">
        <f t="shared" si="7"/>
        <v>1.4515</v>
      </c>
      <c r="F15" s="110">
        <f t="shared" si="7"/>
        <v>1.4515</v>
      </c>
      <c r="G15" s="110">
        <f t="shared" si="7"/>
        <v>1.4515</v>
      </c>
      <c r="H15" s="110">
        <f t="shared" si="7"/>
        <v>1.4515</v>
      </c>
      <c r="I15" s="110">
        <f t="shared" si="7"/>
        <v>1.4515</v>
      </c>
      <c r="J15" s="110">
        <f t="shared" si="7"/>
        <v>1.4515</v>
      </c>
      <c r="K15" s="110">
        <f t="shared" si="7"/>
        <v>1.4515</v>
      </c>
      <c r="L15" s="149"/>
    </row>
    <row r="16" spans="1:12" s="146" customFormat="1" ht="12">
      <c r="A16" s="13" t="s">
        <v>8</v>
      </c>
      <c r="B16" s="103"/>
      <c r="C16" s="110">
        <f>(C9+C10+C11+C12+C13+C14+C15)*0.7</f>
        <v>18.716879999999996</v>
      </c>
      <c r="D16" s="110">
        <f aca="true" t="shared" si="8" ref="D16:K16">(D9+D10+D11+D12+D13+D14+D15)*0.7</f>
        <v>18.716879999999996</v>
      </c>
      <c r="E16" s="110">
        <f t="shared" si="8"/>
        <v>18.716879999999996</v>
      </c>
      <c r="F16" s="110">
        <f t="shared" si="8"/>
        <v>18.716879999999996</v>
      </c>
      <c r="G16" s="110">
        <f t="shared" si="8"/>
        <v>18.716879999999996</v>
      </c>
      <c r="H16" s="110">
        <f t="shared" si="8"/>
        <v>18.716879999999996</v>
      </c>
      <c r="I16" s="110">
        <f t="shared" si="8"/>
        <v>18.716879999999996</v>
      </c>
      <c r="J16" s="110">
        <f t="shared" si="8"/>
        <v>18.716879999999996</v>
      </c>
      <c r="K16" s="110">
        <f t="shared" si="8"/>
        <v>18.716879999999996</v>
      </c>
      <c r="L16" s="149"/>
    </row>
    <row r="17" spans="1:12" s="146" customFormat="1" ht="12">
      <c r="A17" s="13" t="s">
        <v>20</v>
      </c>
      <c r="B17" s="103"/>
      <c r="C17" s="110">
        <f>(C9+C10+C11+C12+C13+C14+C15)*0.8</f>
        <v>21.39072</v>
      </c>
      <c r="D17" s="110">
        <f aca="true" t="shared" si="9" ref="D17:K17">(D9+D10+D11+D12+D13+D14+D15)*0.8</f>
        <v>21.39072</v>
      </c>
      <c r="E17" s="110">
        <f t="shared" si="9"/>
        <v>21.39072</v>
      </c>
      <c r="F17" s="110">
        <f t="shared" si="9"/>
        <v>21.39072</v>
      </c>
      <c r="G17" s="110">
        <f t="shared" si="9"/>
        <v>21.39072</v>
      </c>
      <c r="H17" s="110">
        <f t="shared" si="9"/>
        <v>21.39072</v>
      </c>
      <c r="I17" s="110">
        <f t="shared" si="9"/>
        <v>21.39072</v>
      </c>
      <c r="J17" s="110">
        <f t="shared" si="9"/>
        <v>21.39072</v>
      </c>
      <c r="K17" s="110">
        <f t="shared" si="9"/>
        <v>21.39072</v>
      </c>
      <c r="L17" s="150">
        <f>(L9+L10+L11+L12+L13+L14+L15)*0.8</f>
        <v>0.9536</v>
      </c>
    </row>
    <row r="18" spans="1:12" s="152" customFormat="1" ht="12.75" thickBot="1">
      <c r="A18" s="17" t="s">
        <v>12</v>
      </c>
      <c r="B18" s="111"/>
      <c r="C18" s="111">
        <f>(SUM(C9:C17)*C8*12)*0.302</f>
        <v>242.24990400000002</v>
      </c>
      <c r="D18" s="111">
        <f aca="true" t="shared" si="10" ref="D18:K18">(SUM(D9:D17)*D8*12)*0.302</f>
        <v>242.24990400000002</v>
      </c>
      <c r="E18" s="111">
        <f t="shared" si="10"/>
        <v>242.24990400000002</v>
      </c>
      <c r="F18" s="111">
        <f t="shared" si="10"/>
        <v>242.24990400000002</v>
      </c>
      <c r="G18" s="111">
        <f t="shared" si="10"/>
        <v>242.24990400000002</v>
      </c>
      <c r="H18" s="111">
        <f t="shared" si="10"/>
        <v>242.24990400000002</v>
      </c>
      <c r="I18" s="111">
        <f t="shared" si="10"/>
        <v>242.24990400000002</v>
      </c>
      <c r="J18" s="111">
        <f t="shared" si="10"/>
        <v>121.12495200000001</v>
      </c>
      <c r="K18" s="111">
        <f t="shared" si="10"/>
        <v>242.24990400000002</v>
      </c>
      <c r="L18" s="151"/>
    </row>
    <row r="19" spans="1:12" s="146" customFormat="1" ht="12.75" thickBot="1">
      <c r="A19" s="18" t="s">
        <v>125</v>
      </c>
      <c r="B19" s="112">
        <f>SUM(C19:K19)</f>
        <v>8877.416184000002</v>
      </c>
      <c r="C19" s="112">
        <f>(SUM(C9:C17)*C8*12)+C18</f>
        <v>1044.401904</v>
      </c>
      <c r="D19" s="112">
        <f aca="true" t="shared" si="11" ref="D19:K19">(SUM(D9:D17)*D8*12)+D18</f>
        <v>1044.401904</v>
      </c>
      <c r="E19" s="112">
        <f t="shared" si="11"/>
        <v>1044.401904</v>
      </c>
      <c r="F19" s="112">
        <f t="shared" si="11"/>
        <v>1044.401904</v>
      </c>
      <c r="G19" s="112">
        <f t="shared" si="11"/>
        <v>1044.401904</v>
      </c>
      <c r="H19" s="112">
        <f t="shared" si="11"/>
        <v>1044.401904</v>
      </c>
      <c r="I19" s="112">
        <f t="shared" si="11"/>
        <v>1044.401904</v>
      </c>
      <c r="J19" s="112">
        <f t="shared" si="11"/>
        <v>522.200952</v>
      </c>
      <c r="K19" s="112">
        <f t="shared" si="11"/>
        <v>1044.401904</v>
      </c>
      <c r="L19" s="149"/>
    </row>
    <row r="20" spans="1:12" s="146" customFormat="1" ht="6.75" customHeight="1" thickBot="1">
      <c r="A20" s="14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0"/>
    </row>
    <row r="21" spans="1:12" s="148" customFormat="1" ht="12">
      <c r="A21" s="15" t="s">
        <v>476</v>
      </c>
      <c r="B21" s="107">
        <f>SUM(C21:K21)</f>
        <v>2</v>
      </c>
      <c r="C21" s="108">
        <v>2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9">
        <v>0</v>
      </c>
      <c r="L21" s="147"/>
    </row>
    <row r="22" spans="1:12" s="146" customFormat="1" ht="12">
      <c r="A22" s="13" t="s">
        <v>21</v>
      </c>
      <c r="B22" s="103"/>
      <c r="C22" s="104">
        <f>5.321</f>
        <v>5.321</v>
      </c>
      <c r="D22" s="104"/>
      <c r="E22" s="104"/>
      <c r="F22" s="104"/>
      <c r="G22" s="104"/>
      <c r="H22" s="104"/>
      <c r="I22" s="104"/>
      <c r="J22" s="104"/>
      <c r="K22" s="104"/>
      <c r="L22" s="149"/>
    </row>
    <row r="23" spans="1:12" s="146" customFormat="1" ht="12">
      <c r="A23" s="13" t="s">
        <v>7</v>
      </c>
      <c r="B23" s="104"/>
      <c r="C23" s="110">
        <f>C22*0.6</f>
        <v>3.1925999999999997</v>
      </c>
      <c r="D23" s="110"/>
      <c r="E23" s="110"/>
      <c r="F23" s="110"/>
      <c r="G23" s="110"/>
      <c r="H23" s="110"/>
      <c r="I23" s="110"/>
      <c r="J23" s="110"/>
      <c r="K23" s="115"/>
      <c r="L23" s="149"/>
    </row>
    <row r="24" spans="1:12" s="146" customFormat="1" ht="12">
      <c r="A24" s="13" t="s">
        <v>9</v>
      </c>
      <c r="B24" s="104"/>
      <c r="C24" s="104">
        <f>C22*0.3</f>
        <v>1.5962999999999998</v>
      </c>
      <c r="D24" s="104"/>
      <c r="E24" s="104"/>
      <c r="F24" s="104"/>
      <c r="G24" s="104"/>
      <c r="H24" s="104"/>
      <c r="I24" s="104"/>
      <c r="J24" s="104"/>
      <c r="K24" s="116"/>
      <c r="L24" s="149"/>
    </row>
    <row r="25" spans="1:12" s="146" customFormat="1" ht="14.25" customHeight="1">
      <c r="A25" s="13" t="s">
        <v>10</v>
      </c>
      <c r="B25" s="103"/>
      <c r="C25" s="110">
        <v>1.192</v>
      </c>
      <c r="D25" s="110"/>
      <c r="E25" s="110"/>
      <c r="F25" s="110"/>
      <c r="G25" s="110"/>
      <c r="H25" s="110"/>
      <c r="I25" s="110"/>
      <c r="J25" s="110"/>
      <c r="K25" s="115"/>
      <c r="L25" s="150">
        <v>1.192</v>
      </c>
    </row>
    <row r="26" spans="1:12" s="146" customFormat="1" ht="12">
      <c r="A26" s="13" t="s">
        <v>124</v>
      </c>
      <c r="B26" s="104"/>
      <c r="C26" s="110">
        <f>C22*2</f>
        <v>10.642</v>
      </c>
      <c r="D26" s="110"/>
      <c r="E26" s="110"/>
      <c r="F26" s="110"/>
      <c r="G26" s="110"/>
      <c r="H26" s="110"/>
      <c r="I26" s="110"/>
      <c r="J26" s="110"/>
      <c r="K26" s="110"/>
      <c r="L26" s="149"/>
    </row>
    <row r="27" spans="1:12" s="146" customFormat="1" ht="12">
      <c r="A27" s="13" t="s">
        <v>11</v>
      </c>
      <c r="B27" s="104"/>
      <c r="C27" s="110">
        <f>C22*0.25</f>
        <v>1.33025</v>
      </c>
      <c r="D27" s="110"/>
      <c r="E27" s="110"/>
      <c r="F27" s="110"/>
      <c r="G27" s="110"/>
      <c r="H27" s="110"/>
      <c r="I27" s="110"/>
      <c r="J27" s="110"/>
      <c r="K27" s="115"/>
      <c r="L27" s="149"/>
    </row>
    <row r="28" spans="1:12" s="146" customFormat="1" ht="36">
      <c r="A28" s="13" t="s">
        <v>22</v>
      </c>
      <c r="B28" s="104"/>
      <c r="C28" s="110">
        <f>C22*0.25</f>
        <v>1.33025</v>
      </c>
      <c r="D28" s="110"/>
      <c r="E28" s="110"/>
      <c r="F28" s="110"/>
      <c r="G28" s="110"/>
      <c r="H28" s="110"/>
      <c r="I28" s="110"/>
      <c r="J28" s="110"/>
      <c r="K28" s="115"/>
      <c r="L28" s="149"/>
    </row>
    <row r="29" spans="1:12" s="146" customFormat="1" ht="12">
      <c r="A29" s="13" t="s">
        <v>8</v>
      </c>
      <c r="B29" s="104"/>
      <c r="C29" s="110">
        <f>(C22+C23+C24+C25+C26+C27+C28)*0.7</f>
        <v>17.223079999999996</v>
      </c>
      <c r="D29" s="110"/>
      <c r="E29" s="110"/>
      <c r="F29" s="110"/>
      <c r="G29" s="110"/>
      <c r="H29" s="110"/>
      <c r="I29" s="110"/>
      <c r="J29" s="110"/>
      <c r="K29" s="115"/>
      <c r="L29" s="149"/>
    </row>
    <row r="30" spans="1:12" s="146" customFormat="1" ht="12">
      <c r="A30" s="13" t="s">
        <v>20</v>
      </c>
      <c r="B30" s="104"/>
      <c r="C30" s="110">
        <f>(C22+C23+C24+C25+C26+C27+C28)*0.8</f>
        <v>19.68352</v>
      </c>
      <c r="D30" s="110"/>
      <c r="E30" s="110"/>
      <c r="F30" s="110"/>
      <c r="G30" s="110"/>
      <c r="H30" s="110"/>
      <c r="I30" s="110"/>
      <c r="J30" s="110"/>
      <c r="K30" s="115"/>
      <c r="L30" s="149"/>
    </row>
    <row r="31" spans="1:12" s="146" customFormat="1" ht="12.75" thickBot="1">
      <c r="A31" s="17" t="s">
        <v>12</v>
      </c>
      <c r="B31" s="106"/>
      <c r="C31" s="111">
        <f>(SUM(C22:C30)*C21*12)*0.302</f>
        <v>445.83172799999994</v>
      </c>
      <c r="D31" s="111"/>
      <c r="E31" s="111"/>
      <c r="F31" s="111"/>
      <c r="G31" s="111"/>
      <c r="H31" s="111"/>
      <c r="I31" s="111"/>
      <c r="J31" s="111"/>
      <c r="K31" s="117"/>
      <c r="L31" s="153"/>
    </row>
    <row r="32" spans="1:12" s="146" customFormat="1" ht="12.75" thickBot="1">
      <c r="A32" s="18" t="s">
        <v>126</v>
      </c>
      <c r="B32" s="112">
        <f>SUM(C32:K32)</f>
        <v>1922.0957279999998</v>
      </c>
      <c r="C32" s="112">
        <f>(SUM(C22:C30)*C21*12)+C31</f>
        <v>1922.0957279999998</v>
      </c>
      <c r="D32" s="112"/>
      <c r="E32" s="112"/>
      <c r="F32" s="112"/>
      <c r="G32" s="112"/>
      <c r="H32" s="112"/>
      <c r="I32" s="112"/>
      <c r="J32" s="112"/>
      <c r="K32" s="118"/>
      <c r="L32" s="154">
        <f>(SUM(L22:L30)*L21*12)</f>
        <v>0</v>
      </c>
    </row>
    <row r="33" spans="1:12" s="146" customFormat="1" ht="12" hidden="1">
      <c r="A33" s="65"/>
      <c r="B33" s="113"/>
      <c r="C33" s="113"/>
      <c r="D33" s="113"/>
      <c r="E33" s="113"/>
      <c r="F33" s="113"/>
      <c r="G33" s="113"/>
      <c r="H33" s="113"/>
      <c r="I33" s="113"/>
      <c r="J33" s="113"/>
      <c r="K33" s="119"/>
      <c r="L33" s="155" t="e">
        <f>(0.2*L4)/1000</f>
        <v>#VALUE!</v>
      </c>
    </row>
    <row r="34" spans="1:12" s="146" customFormat="1" ht="13.5" customHeight="1" hidden="1" thickBot="1">
      <c r="A34" s="65"/>
      <c r="B34" s="113"/>
      <c r="C34" s="113"/>
      <c r="D34" s="113"/>
      <c r="E34" s="113"/>
      <c r="F34" s="113"/>
      <c r="G34" s="113"/>
      <c r="H34" s="113"/>
      <c r="I34" s="113"/>
      <c r="J34" s="113"/>
      <c r="K34" s="119"/>
      <c r="L34" s="10" t="s">
        <v>151</v>
      </c>
    </row>
    <row r="35" spans="1:12" s="146" customFormat="1" ht="12" hidden="1">
      <c r="A35" s="12"/>
      <c r="B35" s="107"/>
      <c r="C35" s="108"/>
      <c r="D35" s="108"/>
      <c r="E35" s="108"/>
      <c r="F35" s="108"/>
      <c r="G35" s="108"/>
      <c r="H35" s="108"/>
      <c r="I35" s="108"/>
      <c r="J35" s="108"/>
      <c r="K35" s="109"/>
      <c r="L35" s="155">
        <f>0.2*12</f>
        <v>2.4000000000000004</v>
      </c>
    </row>
    <row r="36" spans="1:12" s="157" customFormat="1" ht="12" hidden="1">
      <c r="A36" s="13"/>
      <c r="B36" s="103"/>
      <c r="C36" s="104"/>
      <c r="D36" s="104"/>
      <c r="E36" s="104"/>
      <c r="F36" s="104"/>
      <c r="G36" s="104"/>
      <c r="H36" s="104"/>
      <c r="I36" s="104"/>
      <c r="J36" s="104"/>
      <c r="K36" s="104"/>
      <c r="L36" s="156"/>
    </row>
    <row r="37" spans="1:12" s="159" customFormat="1" ht="11.25" customHeight="1" hidden="1">
      <c r="A37" s="13"/>
      <c r="B37" s="103"/>
      <c r="C37" s="110"/>
      <c r="D37" s="110"/>
      <c r="E37" s="110"/>
      <c r="F37" s="110"/>
      <c r="G37" s="110"/>
      <c r="H37" s="110"/>
      <c r="I37" s="110"/>
      <c r="J37" s="110"/>
      <c r="K37" s="110"/>
      <c r="L37" s="158"/>
    </row>
    <row r="38" spans="1:12" s="146" customFormat="1" ht="15" customHeight="1" hidden="1">
      <c r="A38" s="13"/>
      <c r="B38" s="103"/>
      <c r="C38" s="104"/>
      <c r="D38" s="104"/>
      <c r="E38" s="104"/>
      <c r="F38" s="104"/>
      <c r="G38" s="104"/>
      <c r="H38" s="104"/>
      <c r="I38" s="104"/>
      <c r="J38" s="104"/>
      <c r="K38" s="104"/>
      <c r="L38" s="10" t="s">
        <v>152</v>
      </c>
    </row>
    <row r="39" spans="1:12" s="160" customFormat="1" ht="12" customHeight="1" hidden="1">
      <c r="A39" s="13"/>
      <c r="B39" s="103"/>
      <c r="C39" s="110"/>
      <c r="D39" s="110"/>
      <c r="E39" s="110"/>
      <c r="F39" s="110"/>
      <c r="G39" s="110"/>
      <c r="H39" s="110"/>
      <c r="I39" s="110"/>
      <c r="J39" s="110"/>
      <c r="K39" s="110"/>
      <c r="L39" s="10"/>
    </row>
    <row r="40" spans="1:12" s="160" customFormat="1" ht="12" hidden="1">
      <c r="A40" s="13"/>
      <c r="B40" s="103"/>
      <c r="C40" s="110"/>
      <c r="D40" s="110"/>
      <c r="E40" s="110"/>
      <c r="F40" s="110"/>
      <c r="G40" s="110"/>
      <c r="H40" s="110"/>
      <c r="I40" s="110"/>
      <c r="J40" s="110"/>
      <c r="K40" s="110"/>
      <c r="L40" s="10"/>
    </row>
    <row r="41" spans="1:12" s="160" customFormat="1" ht="12" hidden="1">
      <c r="A41" s="13"/>
      <c r="B41" s="103"/>
      <c r="C41" s="110"/>
      <c r="D41" s="110"/>
      <c r="E41" s="110"/>
      <c r="F41" s="110"/>
      <c r="G41" s="110"/>
      <c r="H41" s="110"/>
      <c r="I41" s="110"/>
      <c r="J41" s="110"/>
      <c r="K41" s="110"/>
      <c r="L41" s="10"/>
    </row>
    <row r="42" spans="1:12" s="160" customFormat="1" ht="12" hidden="1">
      <c r="A42" s="13"/>
      <c r="B42" s="103"/>
      <c r="C42" s="110"/>
      <c r="D42" s="110"/>
      <c r="E42" s="110"/>
      <c r="F42" s="110"/>
      <c r="G42" s="110"/>
      <c r="H42" s="110"/>
      <c r="I42" s="110"/>
      <c r="J42" s="110"/>
      <c r="K42" s="110"/>
      <c r="L42" s="10"/>
    </row>
    <row r="43" spans="1:12" ht="12" hidden="1">
      <c r="A43" s="13"/>
      <c r="B43" s="103"/>
      <c r="C43" s="110"/>
      <c r="D43" s="110"/>
      <c r="E43" s="110"/>
      <c r="F43" s="110"/>
      <c r="G43" s="110"/>
      <c r="H43" s="110"/>
      <c r="I43" s="110"/>
      <c r="J43" s="110"/>
      <c r="K43" s="110"/>
      <c r="L43" s="161"/>
    </row>
    <row r="44" spans="1:11" s="3" customFormat="1" ht="12" hidden="1">
      <c r="A44" s="13"/>
      <c r="B44" s="103"/>
      <c r="C44" s="110"/>
      <c r="D44" s="110"/>
      <c r="E44" s="110"/>
      <c r="F44" s="110"/>
      <c r="G44" s="110"/>
      <c r="H44" s="110"/>
      <c r="I44" s="110"/>
      <c r="J44" s="110"/>
      <c r="K44" s="110"/>
    </row>
    <row r="45" spans="1:11" s="3" customFormat="1" ht="12.75" hidden="1" thickBot="1">
      <c r="A45" s="17"/>
      <c r="B45" s="111"/>
      <c r="C45" s="111"/>
      <c r="D45" s="111"/>
      <c r="E45" s="111"/>
      <c r="F45" s="111"/>
      <c r="G45" s="111"/>
      <c r="H45" s="111"/>
      <c r="I45" s="111"/>
      <c r="J45" s="111"/>
      <c r="K45" s="111"/>
    </row>
    <row r="46" spans="1:11" s="3" customFormat="1" ht="12.75" hidden="1" thickBot="1">
      <c r="A46" s="18"/>
      <c r="B46" s="112"/>
      <c r="C46" s="112"/>
      <c r="D46" s="112"/>
      <c r="E46" s="112"/>
      <c r="F46" s="112"/>
      <c r="G46" s="112"/>
      <c r="H46" s="112"/>
      <c r="I46" s="112"/>
      <c r="J46" s="112"/>
      <c r="K46" s="112"/>
    </row>
    <row r="47" spans="1:11" s="3" customFormat="1" ht="12.75" hidden="1" thickBot="1">
      <c r="A47" s="14"/>
      <c r="B47" s="113"/>
      <c r="C47" s="114"/>
      <c r="D47" s="114"/>
      <c r="E47" s="114"/>
      <c r="F47" s="114"/>
      <c r="G47" s="114"/>
      <c r="H47" s="114"/>
      <c r="I47" s="114"/>
      <c r="J47" s="114"/>
      <c r="K47" s="114"/>
    </row>
    <row r="48" spans="1:11" s="3" customFormat="1" ht="12" hidden="1">
      <c r="A48" s="15"/>
      <c r="B48" s="107"/>
      <c r="C48" s="108"/>
      <c r="D48" s="108"/>
      <c r="E48" s="108"/>
      <c r="F48" s="108"/>
      <c r="G48" s="108"/>
      <c r="H48" s="108"/>
      <c r="I48" s="108"/>
      <c r="J48" s="108"/>
      <c r="K48" s="109"/>
    </row>
    <row r="49" spans="1:11" ht="12" hidden="1">
      <c r="A49" s="13"/>
      <c r="B49" s="103"/>
      <c r="C49" s="104"/>
      <c r="D49" s="104"/>
      <c r="E49" s="104"/>
      <c r="F49" s="104"/>
      <c r="G49" s="104"/>
      <c r="H49" s="104"/>
      <c r="I49" s="104"/>
      <c r="J49" s="104"/>
      <c r="K49" s="104"/>
    </row>
    <row r="50" spans="1:11" ht="12" hidden="1">
      <c r="A50" s="13"/>
      <c r="B50" s="104"/>
      <c r="C50" s="110"/>
      <c r="D50" s="110"/>
      <c r="E50" s="110"/>
      <c r="F50" s="110"/>
      <c r="G50" s="110"/>
      <c r="H50" s="110"/>
      <c r="I50" s="110"/>
      <c r="J50" s="110"/>
      <c r="K50" s="115"/>
    </row>
    <row r="51" spans="1:11" ht="12" hidden="1">
      <c r="A51" s="13"/>
      <c r="B51" s="104"/>
      <c r="C51" s="104"/>
      <c r="D51" s="104"/>
      <c r="E51" s="104"/>
      <c r="F51" s="104"/>
      <c r="G51" s="104"/>
      <c r="H51" s="104"/>
      <c r="I51" s="104"/>
      <c r="J51" s="104"/>
      <c r="K51" s="116"/>
    </row>
    <row r="52" spans="1:11" ht="12" hidden="1">
      <c r="A52" s="13"/>
      <c r="B52" s="103"/>
      <c r="C52" s="110"/>
      <c r="D52" s="110"/>
      <c r="E52" s="110"/>
      <c r="F52" s="110"/>
      <c r="G52" s="110"/>
      <c r="H52" s="110"/>
      <c r="I52" s="110"/>
      <c r="J52" s="110"/>
      <c r="K52" s="115"/>
    </row>
    <row r="53" spans="1:11" ht="12" hidden="1">
      <c r="A53" s="13"/>
      <c r="B53" s="104"/>
      <c r="C53" s="110"/>
      <c r="D53" s="110"/>
      <c r="E53" s="110"/>
      <c r="F53" s="110"/>
      <c r="G53" s="110"/>
      <c r="H53" s="110"/>
      <c r="I53" s="110"/>
      <c r="J53" s="110"/>
      <c r="K53" s="110"/>
    </row>
    <row r="54" spans="1:11" ht="12" hidden="1">
      <c r="A54" s="13"/>
      <c r="B54" s="104"/>
      <c r="C54" s="110"/>
      <c r="D54" s="110"/>
      <c r="E54" s="110"/>
      <c r="F54" s="110"/>
      <c r="G54" s="110"/>
      <c r="H54" s="110"/>
      <c r="I54" s="110"/>
      <c r="J54" s="110"/>
      <c r="K54" s="115"/>
    </row>
    <row r="55" spans="1:11" ht="12" hidden="1">
      <c r="A55" s="13"/>
      <c r="B55" s="104"/>
      <c r="C55" s="110"/>
      <c r="D55" s="110"/>
      <c r="E55" s="110"/>
      <c r="F55" s="110"/>
      <c r="G55" s="110"/>
      <c r="H55" s="110"/>
      <c r="I55" s="110"/>
      <c r="J55" s="110"/>
      <c r="K55" s="115"/>
    </row>
    <row r="56" spans="1:11" ht="12" hidden="1">
      <c r="A56" s="13"/>
      <c r="B56" s="104"/>
      <c r="C56" s="110"/>
      <c r="D56" s="110"/>
      <c r="E56" s="110"/>
      <c r="F56" s="110"/>
      <c r="G56" s="110"/>
      <c r="H56" s="110"/>
      <c r="I56" s="110"/>
      <c r="J56" s="110"/>
      <c r="K56" s="115"/>
    </row>
    <row r="57" spans="1:11" ht="12" hidden="1">
      <c r="A57" s="13"/>
      <c r="B57" s="104"/>
      <c r="C57" s="110"/>
      <c r="D57" s="110"/>
      <c r="E57" s="110"/>
      <c r="F57" s="110"/>
      <c r="G57" s="110"/>
      <c r="H57" s="110"/>
      <c r="I57" s="110"/>
      <c r="J57" s="110"/>
      <c r="K57" s="115"/>
    </row>
    <row r="58" spans="1:11" ht="12.75" hidden="1" thickBot="1">
      <c r="A58" s="17"/>
      <c r="B58" s="106"/>
      <c r="C58" s="111"/>
      <c r="D58" s="111"/>
      <c r="E58" s="111"/>
      <c r="F58" s="111"/>
      <c r="G58" s="111"/>
      <c r="H58" s="111"/>
      <c r="I58" s="111"/>
      <c r="J58" s="111"/>
      <c r="K58" s="117"/>
    </row>
    <row r="59" spans="1:11" ht="12.75" hidden="1" thickBot="1">
      <c r="A59" s="18"/>
      <c r="B59" s="112"/>
      <c r="C59" s="112"/>
      <c r="D59" s="112"/>
      <c r="E59" s="112"/>
      <c r="F59" s="112"/>
      <c r="G59" s="112"/>
      <c r="H59" s="112"/>
      <c r="I59" s="112"/>
      <c r="J59" s="112"/>
      <c r="K59" s="118"/>
    </row>
    <row r="60" ht="12" hidden="1">
      <c r="A60" s="65"/>
    </row>
    <row r="61" spans="1:11" ht="12">
      <c r="A61" s="16" t="s">
        <v>24</v>
      </c>
      <c r="B61" s="103">
        <f>SUM(C61:K61)</f>
        <v>87.8178</v>
      </c>
      <c r="C61" s="104">
        <f aca="true" t="shared" si="12" ref="C61:K61">(21*(C4/5))/1000</f>
        <v>37.5648</v>
      </c>
      <c r="D61" s="104">
        <f t="shared" si="12"/>
        <v>7.7741999999999996</v>
      </c>
      <c r="E61" s="104">
        <f t="shared" si="12"/>
        <v>7.7238</v>
      </c>
      <c r="F61" s="104">
        <f t="shared" si="12"/>
        <v>6.4428</v>
      </c>
      <c r="G61" s="104">
        <f t="shared" si="12"/>
        <v>4.842599999999999</v>
      </c>
      <c r="H61" s="104">
        <f t="shared" si="12"/>
        <v>5.019</v>
      </c>
      <c r="I61" s="104">
        <f t="shared" si="12"/>
        <v>7.8456</v>
      </c>
      <c r="J61" s="104">
        <f t="shared" si="12"/>
        <v>0.7182000000000001</v>
      </c>
      <c r="K61" s="104">
        <f t="shared" si="12"/>
        <v>9.886800000000001</v>
      </c>
    </row>
    <row r="62" spans="1:11" ht="12">
      <c r="A62" s="16" t="s">
        <v>25</v>
      </c>
      <c r="B62" s="103">
        <f>SUM(C62:K62)</f>
        <v>133.79999999999998</v>
      </c>
      <c r="C62" s="104">
        <f>(750*12)/1000</f>
        <v>9</v>
      </c>
      <c r="D62" s="104">
        <f>(1300*12)/1000</f>
        <v>15.6</v>
      </c>
      <c r="E62" s="104">
        <f aca="true" t="shared" si="13" ref="E62:K62">(1300*12)/1000</f>
        <v>15.6</v>
      </c>
      <c r="F62" s="104">
        <f t="shared" si="13"/>
        <v>15.6</v>
      </c>
      <c r="G62" s="104">
        <f t="shared" si="13"/>
        <v>15.6</v>
      </c>
      <c r="H62" s="104">
        <f t="shared" si="13"/>
        <v>15.6</v>
      </c>
      <c r="I62" s="104">
        <f t="shared" si="13"/>
        <v>15.6</v>
      </c>
      <c r="J62" s="104">
        <f t="shared" si="13"/>
        <v>15.6</v>
      </c>
      <c r="K62" s="104">
        <f t="shared" si="13"/>
        <v>15.6</v>
      </c>
    </row>
    <row r="63" spans="1:11" ht="12">
      <c r="A63" s="16" t="s">
        <v>26</v>
      </c>
      <c r="B63" s="103">
        <f>SUM(C63:K63)</f>
        <v>81</v>
      </c>
      <c r="C63" s="104">
        <f>0.75*12</f>
        <v>9</v>
      </c>
      <c r="D63" s="104">
        <f aca="true" t="shared" si="14" ref="D63:K63">0.75*12</f>
        <v>9</v>
      </c>
      <c r="E63" s="104">
        <f t="shared" si="14"/>
        <v>9</v>
      </c>
      <c r="F63" s="104">
        <f t="shared" si="14"/>
        <v>9</v>
      </c>
      <c r="G63" s="104">
        <f t="shared" si="14"/>
        <v>9</v>
      </c>
      <c r="H63" s="104">
        <f t="shared" si="14"/>
        <v>9</v>
      </c>
      <c r="I63" s="104">
        <f t="shared" si="14"/>
        <v>9</v>
      </c>
      <c r="J63" s="104">
        <f t="shared" si="14"/>
        <v>9</v>
      </c>
      <c r="K63" s="104">
        <f t="shared" si="14"/>
        <v>9</v>
      </c>
    </row>
    <row r="64" spans="1:11" ht="24">
      <c r="A64" s="16" t="s">
        <v>27</v>
      </c>
      <c r="B64" s="120">
        <f>SUM(C64:K64)</f>
        <v>790.275</v>
      </c>
      <c r="C64" s="19">
        <f>5+(0.075*C65)</f>
        <v>325.625</v>
      </c>
      <c r="D64" s="19">
        <f aca="true" t="shared" si="15" ref="D64:K64">5+(0.075*D65)</f>
        <v>72.64999999999999</v>
      </c>
      <c r="E64" s="19">
        <f t="shared" si="15"/>
        <v>69.8</v>
      </c>
      <c r="F64" s="19">
        <f t="shared" si="15"/>
        <v>59.3</v>
      </c>
      <c r="G64" s="19">
        <f t="shared" si="15"/>
        <v>42.949999999999996</v>
      </c>
      <c r="H64" s="19">
        <f t="shared" si="15"/>
        <v>45.65</v>
      </c>
      <c r="I64" s="19">
        <f t="shared" si="15"/>
        <v>72.64999999999999</v>
      </c>
      <c r="J64" s="19">
        <f t="shared" si="15"/>
        <v>12.725</v>
      </c>
      <c r="K64" s="19">
        <f t="shared" si="15"/>
        <v>88.925</v>
      </c>
    </row>
    <row r="65" spans="1:11" ht="12">
      <c r="A65" s="20" t="s">
        <v>153</v>
      </c>
      <c r="B65" s="121"/>
      <c r="C65" s="21">
        <v>4275</v>
      </c>
      <c r="D65" s="21">
        <v>902</v>
      </c>
      <c r="E65" s="21">
        <v>864</v>
      </c>
      <c r="F65" s="21">
        <v>724</v>
      </c>
      <c r="G65" s="21">
        <v>506</v>
      </c>
      <c r="H65" s="21">
        <v>542</v>
      </c>
      <c r="I65" s="21">
        <v>902</v>
      </c>
      <c r="J65" s="21">
        <v>103</v>
      </c>
      <c r="K65" s="21">
        <v>1119</v>
      </c>
    </row>
    <row r="66" spans="1:11" ht="12">
      <c r="A66" s="16" t="s">
        <v>28</v>
      </c>
      <c r="B66" s="103">
        <f>SUM(C66:K66)</f>
        <v>594.8</v>
      </c>
      <c r="C66" s="104">
        <v>0</v>
      </c>
      <c r="D66" s="104">
        <f aca="true" t="shared" si="16" ref="D66:K66">(((500*10)+(2500*10)+(D67*2))*2)/1000</f>
        <v>60.8</v>
      </c>
      <c r="E66" s="104">
        <f t="shared" si="16"/>
        <v>63</v>
      </c>
      <c r="F66" s="104">
        <f t="shared" si="16"/>
        <v>63</v>
      </c>
      <c r="G66" s="104">
        <f t="shared" si="16"/>
        <v>72</v>
      </c>
      <c r="H66" s="104">
        <f t="shared" si="16"/>
        <v>72</v>
      </c>
      <c r="I66" s="104">
        <f t="shared" si="16"/>
        <v>72</v>
      </c>
      <c r="J66" s="104">
        <f t="shared" si="16"/>
        <v>120</v>
      </c>
      <c r="K66" s="104">
        <f t="shared" si="16"/>
        <v>72</v>
      </c>
    </row>
    <row r="67" spans="1:11" ht="13.5" customHeight="1" hidden="1">
      <c r="A67" s="10" t="s">
        <v>23</v>
      </c>
      <c r="B67" s="103"/>
      <c r="C67" s="122">
        <v>0</v>
      </c>
      <c r="D67" s="122">
        <v>200</v>
      </c>
      <c r="E67" s="122">
        <v>750</v>
      </c>
      <c r="F67" s="122">
        <v>750</v>
      </c>
      <c r="G67" s="122">
        <v>3000</v>
      </c>
      <c r="H67" s="122">
        <v>3000</v>
      </c>
      <c r="I67" s="122">
        <v>3000</v>
      </c>
      <c r="J67" s="122">
        <v>15000</v>
      </c>
      <c r="K67" s="122">
        <v>3000</v>
      </c>
    </row>
    <row r="68" spans="1:11" ht="24">
      <c r="A68" s="16" t="s">
        <v>127</v>
      </c>
      <c r="B68" s="103">
        <f>SUM(C68:K68)</f>
        <v>386.6</v>
      </c>
      <c r="C68" s="104">
        <v>52.2</v>
      </c>
      <c r="D68" s="104">
        <v>100</v>
      </c>
      <c r="E68" s="104">
        <v>0</v>
      </c>
      <c r="F68" s="104">
        <v>0</v>
      </c>
      <c r="G68" s="104">
        <v>0</v>
      </c>
      <c r="H68" s="104">
        <v>0</v>
      </c>
      <c r="I68" s="104">
        <v>100</v>
      </c>
      <c r="J68" s="104">
        <v>134.4</v>
      </c>
      <c r="K68" s="104">
        <v>0</v>
      </c>
    </row>
    <row r="69" spans="1:11" ht="24">
      <c r="A69" s="16" t="s">
        <v>128</v>
      </c>
      <c r="B69" s="103">
        <f>SUM(C69:K69)</f>
        <v>326.7</v>
      </c>
      <c r="C69" s="104">
        <v>73.4</v>
      </c>
      <c r="D69" s="104">
        <v>61.5</v>
      </c>
      <c r="E69" s="104">
        <v>25</v>
      </c>
      <c r="F69" s="104">
        <v>30</v>
      </c>
      <c r="G69" s="104">
        <v>25</v>
      </c>
      <c r="H69" s="104">
        <v>62.5</v>
      </c>
      <c r="I69" s="104">
        <v>19.3</v>
      </c>
      <c r="J69" s="104">
        <v>0</v>
      </c>
      <c r="K69" s="104">
        <v>30</v>
      </c>
    </row>
    <row r="70" spans="1:11" ht="12">
      <c r="A70" s="16" t="s">
        <v>129</v>
      </c>
      <c r="B70" s="103">
        <f>SUM(C70:K70)</f>
        <v>196.3</v>
      </c>
      <c r="C70" s="104">
        <v>25</v>
      </c>
      <c r="D70" s="104">
        <v>2.3</v>
      </c>
      <c r="E70" s="104">
        <v>25</v>
      </c>
      <c r="F70" s="104">
        <v>25</v>
      </c>
      <c r="G70" s="104">
        <v>25</v>
      </c>
      <c r="H70" s="104">
        <v>19</v>
      </c>
      <c r="I70" s="104">
        <v>25</v>
      </c>
      <c r="J70" s="104">
        <v>25</v>
      </c>
      <c r="K70" s="104">
        <v>25</v>
      </c>
    </row>
    <row r="71" spans="1:11" ht="12">
      <c r="A71" s="162" t="s">
        <v>13</v>
      </c>
      <c r="B71" s="123">
        <f aca="true" t="shared" si="17" ref="B71:K71">B5+B61+B62+B63+B64+B66+B68+B69+B70</f>
        <v>13396.804712</v>
      </c>
      <c r="C71" s="123">
        <f t="shared" si="17"/>
        <v>3498.2874319999996</v>
      </c>
      <c r="D71" s="123">
        <f t="shared" si="17"/>
        <v>1374.026104</v>
      </c>
      <c r="E71" s="123">
        <f t="shared" si="17"/>
        <v>1259.525704</v>
      </c>
      <c r="F71" s="123">
        <f t="shared" si="17"/>
        <v>1252.744704</v>
      </c>
      <c r="G71" s="123">
        <f t="shared" si="17"/>
        <v>1238.794504</v>
      </c>
      <c r="H71" s="123">
        <f t="shared" si="17"/>
        <v>1273.170904</v>
      </c>
      <c r="I71" s="123">
        <f t="shared" si="17"/>
        <v>1365.7975040000001</v>
      </c>
      <c r="J71" s="123">
        <f t="shared" si="17"/>
        <v>839.6441520000001</v>
      </c>
      <c r="K71" s="123">
        <f t="shared" si="17"/>
        <v>1294.813704</v>
      </c>
    </row>
    <row r="72" ht="3.75" customHeight="1"/>
    <row r="73" ht="12" hidden="1"/>
    <row r="74" ht="12"/>
    <row r="75" ht="7.5" customHeight="1"/>
    <row r="76" spans="1:11" ht="52.5" customHeight="1">
      <c r="A76" s="1295" t="s">
        <v>154</v>
      </c>
      <c r="B76" s="1295"/>
      <c r="C76" s="1295"/>
      <c r="D76" s="1295"/>
      <c r="E76" s="1295"/>
      <c r="F76" s="1295"/>
      <c r="G76" s="1295"/>
      <c r="H76" s="1295"/>
      <c r="I76" s="1295"/>
      <c r="J76" s="1295"/>
      <c r="K76" s="1295"/>
    </row>
    <row r="77" ht="12">
      <c r="K77" s="2" t="s">
        <v>4</v>
      </c>
    </row>
    <row r="78" spans="1:11" ht="36">
      <c r="A78" s="7" t="s">
        <v>5</v>
      </c>
      <c r="B78" s="7" t="s">
        <v>2</v>
      </c>
      <c r="C78" s="698" t="s">
        <v>163</v>
      </c>
      <c r="D78" s="4" t="s">
        <v>0</v>
      </c>
      <c r="E78" s="4" t="s">
        <v>59</v>
      </c>
      <c r="F78" s="4" t="s">
        <v>58</v>
      </c>
      <c r="G78" s="4" t="s">
        <v>478</v>
      </c>
      <c r="H78" s="4" t="s">
        <v>479</v>
      </c>
      <c r="I78" s="4" t="s">
        <v>57</v>
      </c>
      <c r="J78" s="4" t="s">
        <v>1</v>
      </c>
      <c r="K78" s="4" t="s">
        <v>33</v>
      </c>
    </row>
    <row r="79" spans="1:11" ht="12">
      <c r="A79" s="8" t="s">
        <v>477</v>
      </c>
      <c r="B79" s="100">
        <f>SUM(C79:K79)</f>
        <v>20909</v>
      </c>
      <c r="C79" s="101">
        <v>8944</v>
      </c>
      <c r="D79" s="101">
        <v>1851</v>
      </c>
      <c r="E79" s="101">
        <v>1839</v>
      </c>
      <c r="F79" s="101">
        <v>1534</v>
      </c>
      <c r="G79" s="101">
        <v>1153</v>
      </c>
      <c r="H79" s="101">
        <v>1195</v>
      </c>
      <c r="I79" s="101">
        <v>1868</v>
      </c>
      <c r="J79" s="101">
        <v>171</v>
      </c>
      <c r="K79" s="101">
        <v>2354</v>
      </c>
    </row>
    <row r="80" spans="1:11" ht="12">
      <c r="A80" s="9" t="s">
        <v>14</v>
      </c>
      <c r="B80" s="102">
        <f>SUM(C80:K80)</f>
        <v>10799.511912</v>
      </c>
      <c r="C80" s="103">
        <f>C94+C107+C121+C134</f>
        <v>2966.4976319999996</v>
      </c>
      <c r="D80" s="103">
        <f aca="true" t="shared" si="18" ref="D80:K80">D94+D107+D121+D134</f>
        <v>1044.401904</v>
      </c>
      <c r="E80" s="103">
        <f t="shared" si="18"/>
        <v>1044.401904</v>
      </c>
      <c r="F80" s="103">
        <f t="shared" si="18"/>
        <v>1044.401904</v>
      </c>
      <c r="G80" s="103">
        <f t="shared" si="18"/>
        <v>1044.401904</v>
      </c>
      <c r="H80" s="103">
        <f t="shared" si="18"/>
        <v>1044.401904</v>
      </c>
      <c r="I80" s="103">
        <f t="shared" si="18"/>
        <v>1044.401904</v>
      </c>
      <c r="J80" s="103">
        <f t="shared" si="18"/>
        <v>522.200952</v>
      </c>
      <c r="K80" s="103">
        <f t="shared" si="18"/>
        <v>1044.401904</v>
      </c>
    </row>
    <row r="81" spans="1:11" ht="12">
      <c r="A81" s="5" t="s">
        <v>15</v>
      </c>
      <c r="B81" s="103">
        <f>SUM(C81:K81)</f>
        <v>10.5</v>
      </c>
      <c r="C81" s="104">
        <f aca="true" t="shared" si="19" ref="C81:K81">C83+C96</f>
        <v>3</v>
      </c>
      <c r="D81" s="104">
        <f t="shared" si="19"/>
        <v>1</v>
      </c>
      <c r="E81" s="104">
        <v>1</v>
      </c>
      <c r="F81" s="104">
        <v>1</v>
      </c>
      <c r="G81" s="104">
        <v>1</v>
      </c>
      <c r="H81" s="104">
        <v>1</v>
      </c>
      <c r="I81" s="104">
        <v>1</v>
      </c>
      <c r="J81" s="104">
        <f t="shared" si="19"/>
        <v>0.5</v>
      </c>
      <c r="K81" s="104">
        <f t="shared" si="19"/>
        <v>1</v>
      </c>
    </row>
    <row r="82" spans="1:11" ht="12.75" thickBot="1">
      <c r="A82" s="11" t="s">
        <v>16</v>
      </c>
      <c r="B82" s="105"/>
      <c r="C82" s="106"/>
      <c r="D82" s="106"/>
      <c r="E82" s="106"/>
      <c r="F82" s="106"/>
      <c r="G82" s="106"/>
      <c r="H82" s="106"/>
      <c r="I82" s="106"/>
      <c r="J82" s="106"/>
      <c r="K82" s="106"/>
    </row>
    <row r="83" spans="1:11" ht="12">
      <c r="A83" s="12" t="s">
        <v>475</v>
      </c>
      <c r="B83" s="107">
        <f>SUM(C83:K83)</f>
        <v>8.5</v>
      </c>
      <c r="C83" s="108">
        <v>1</v>
      </c>
      <c r="D83" s="108">
        <v>1</v>
      </c>
      <c r="E83" s="108">
        <v>1</v>
      </c>
      <c r="F83" s="108">
        <v>1</v>
      </c>
      <c r="G83" s="108">
        <v>1</v>
      </c>
      <c r="H83" s="108">
        <v>1</v>
      </c>
      <c r="I83" s="108">
        <v>1</v>
      </c>
      <c r="J83" s="108">
        <v>0.5</v>
      </c>
      <c r="K83" s="109">
        <v>1</v>
      </c>
    </row>
    <row r="84" spans="1:11" ht="12">
      <c r="A84" s="13" t="s">
        <v>17</v>
      </c>
      <c r="B84" s="103"/>
      <c r="C84" s="104">
        <f>5.806</f>
        <v>5.806</v>
      </c>
      <c r="D84" s="104">
        <f aca="true" t="shared" si="20" ref="D84:K84">5.806</f>
        <v>5.806</v>
      </c>
      <c r="E84" s="104">
        <f t="shared" si="20"/>
        <v>5.806</v>
      </c>
      <c r="F84" s="104">
        <f t="shared" si="20"/>
        <v>5.806</v>
      </c>
      <c r="G84" s="104">
        <f t="shared" si="20"/>
        <v>5.806</v>
      </c>
      <c r="H84" s="104">
        <f t="shared" si="20"/>
        <v>5.806</v>
      </c>
      <c r="I84" s="104">
        <f t="shared" si="20"/>
        <v>5.806</v>
      </c>
      <c r="J84" s="104">
        <f t="shared" si="20"/>
        <v>5.806</v>
      </c>
      <c r="K84" s="104">
        <f t="shared" si="20"/>
        <v>5.806</v>
      </c>
    </row>
    <row r="85" spans="1:11" ht="12">
      <c r="A85" s="13" t="s">
        <v>18</v>
      </c>
      <c r="B85" s="103"/>
      <c r="C85" s="110">
        <f>C84*0.6</f>
        <v>3.4836</v>
      </c>
      <c r="D85" s="110">
        <f aca="true" t="shared" si="21" ref="D85:K85">D84*0.6</f>
        <v>3.4836</v>
      </c>
      <c r="E85" s="110">
        <f t="shared" si="21"/>
        <v>3.4836</v>
      </c>
      <c r="F85" s="110">
        <f t="shared" si="21"/>
        <v>3.4836</v>
      </c>
      <c r="G85" s="110">
        <f t="shared" si="21"/>
        <v>3.4836</v>
      </c>
      <c r="H85" s="110">
        <f t="shared" si="21"/>
        <v>3.4836</v>
      </c>
      <c r="I85" s="110">
        <f t="shared" si="21"/>
        <v>3.4836</v>
      </c>
      <c r="J85" s="110">
        <f t="shared" si="21"/>
        <v>3.4836</v>
      </c>
      <c r="K85" s="110">
        <f t="shared" si="21"/>
        <v>3.4836</v>
      </c>
    </row>
    <row r="86" spans="1:11" ht="12">
      <c r="A86" s="13" t="s">
        <v>9</v>
      </c>
      <c r="B86" s="103"/>
      <c r="C86" s="104">
        <f>C84*0.3</f>
        <v>1.7418</v>
      </c>
      <c r="D86" s="104">
        <f aca="true" t="shared" si="22" ref="D86:K86">D84*0.3</f>
        <v>1.7418</v>
      </c>
      <c r="E86" s="104">
        <f t="shared" si="22"/>
        <v>1.7418</v>
      </c>
      <c r="F86" s="104">
        <f t="shared" si="22"/>
        <v>1.7418</v>
      </c>
      <c r="G86" s="104">
        <f t="shared" si="22"/>
        <v>1.7418</v>
      </c>
      <c r="H86" s="104">
        <f t="shared" si="22"/>
        <v>1.7418</v>
      </c>
      <c r="I86" s="104">
        <f t="shared" si="22"/>
        <v>1.7418</v>
      </c>
      <c r="J86" s="104">
        <f t="shared" si="22"/>
        <v>1.7418</v>
      </c>
      <c r="K86" s="104">
        <f t="shared" si="22"/>
        <v>1.7418</v>
      </c>
    </row>
    <row r="87" spans="1:11" ht="24">
      <c r="A87" s="13" t="s">
        <v>10</v>
      </c>
      <c r="B87" s="103"/>
      <c r="C87" s="110">
        <v>1.192</v>
      </c>
      <c r="D87" s="110">
        <v>1.192</v>
      </c>
      <c r="E87" s="110">
        <v>1.192</v>
      </c>
      <c r="F87" s="110">
        <v>1.192</v>
      </c>
      <c r="G87" s="110">
        <v>1.192</v>
      </c>
      <c r="H87" s="110">
        <v>1.192</v>
      </c>
      <c r="I87" s="110">
        <v>1.192</v>
      </c>
      <c r="J87" s="110">
        <v>1.192</v>
      </c>
      <c r="K87" s="110">
        <v>1.192</v>
      </c>
    </row>
    <row r="88" spans="1:11" ht="12">
      <c r="A88" s="13" t="s">
        <v>124</v>
      </c>
      <c r="B88" s="103"/>
      <c r="C88" s="110">
        <f>C84*2</f>
        <v>11.612</v>
      </c>
      <c r="D88" s="110">
        <f aca="true" t="shared" si="23" ref="D88:K88">D84*2</f>
        <v>11.612</v>
      </c>
      <c r="E88" s="110">
        <f t="shared" si="23"/>
        <v>11.612</v>
      </c>
      <c r="F88" s="110">
        <f t="shared" si="23"/>
        <v>11.612</v>
      </c>
      <c r="G88" s="110">
        <f t="shared" si="23"/>
        <v>11.612</v>
      </c>
      <c r="H88" s="110">
        <f t="shared" si="23"/>
        <v>11.612</v>
      </c>
      <c r="I88" s="110">
        <f t="shared" si="23"/>
        <v>11.612</v>
      </c>
      <c r="J88" s="110">
        <f t="shared" si="23"/>
        <v>11.612</v>
      </c>
      <c r="K88" s="110">
        <f t="shared" si="23"/>
        <v>11.612</v>
      </c>
    </row>
    <row r="89" spans="1:11" ht="12">
      <c r="A89" s="13" t="s">
        <v>11</v>
      </c>
      <c r="B89" s="103"/>
      <c r="C89" s="110">
        <f>C84*0.25</f>
        <v>1.4515</v>
      </c>
      <c r="D89" s="110">
        <f aca="true" t="shared" si="24" ref="D89:K89">D84*0.25</f>
        <v>1.4515</v>
      </c>
      <c r="E89" s="110">
        <f t="shared" si="24"/>
        <v>1.4515</v>
      </c>
      <c r="F89" s="110">
        <f t="shared" si="24"/>
        <v>1.4515</v>
      </c>
      <c r="G89" s="110">
        <f t="shared" si="24"/>
        <v>1.4515</v>
      </c>
      <c r="H89" s="110">
        <f t="shared" si="24"/>
        <v>1.4515</v>
      </c>
      <c r="I89" s="110">
        <f t="shared" si="24"/>
        <v>1.4515</v>
      </c>
      <c r="J89" s="110">
        <f t="shared" si="24"/>
        <v>1.4515</v>
      </c>
      <c r="K89" s="110">
        <f t="shared" si="24"/>
        <v>1.4515</v>
      </c>
    </row>
    <row r="90" spans="1:11" ht="36">
      <c r="A90" s="13" t="s">
        <v>19</v>
      </c>
      <c r="B90" s="103"/>
      <c r="C90" s="110">
        <f>C84*0.25</f>
        <v>1.4515</v>
      </c>
      <c r="D90" s="110">
        <f aca="true" t="shared" si="25" ref="D90:K90">D84*0.25</f>
        <v>1.4515</v>
      </c>
      <c r="E90" s="110">
        <f t="shared" si="25"/>
        <v>1.4515</v>
      </c>
      <c r="F90" s="110">
        <f t="shared" si="25"/>
        <v>1.4515</v>
      </c>
      <c r="G90" s="110">
        <f t="shared" si="25"/>
        <v>1.4515</v>
      </c>
      <c r="H90" s="110">
        <f t="shared" si="25"/>
        <v>1.4515</v>
      </c>
      <c r="I90" s="110">
        <f t="shared" si="25"/>
        <v>1.4515</v>
      </c>
      <c r="J90" s="110">
        <f t="shared" si="25"/>
        <v>1.4515</v>
      </c>
      <c r="K90" s="110">
        <f t="shared" si="25"/>
        <v>1.4515</v>
      </c>
    </row>
    <row r="91" spans="1:11" ht="12">
      <c r="A91" s="13" t="s">
        <v>8</v>
      </c>
      <c r="B91" s="103"/>
      <c r="C91" s="110">
        <f>(C84+C85+C86+C87+C88+C89+C90)*0.7</f>
        <v>18.716879999999996</v>
      </c>
      <c r="D91" s="110">
        <f aca="true" t="shared" si="26" ref="D91:K91">(D84+D85+D86+D87+D88+D89+D90)*0.7</f>
        <v>18.716879999999996</v>
      </c>
      <c r="E91" s="110">
        <f t="shared" si="26"/>
        <v>18.716879999999996</v>
      </c>
      <c r="F91" s="110">
        <f t="shared" si="26"/>
        <v>18.716879999999996</v>
      </c>
      <c r="G91" s="110">
        <f t="shared" si="26"/>
        <v>18.716879999999996</v>
      </c>
      <c r="H91" s="110">
        <f t="shared" si="26"/>
        <v>18.716879999999996</v>
      </c>
      <c r="I91" s="110">
        <f t="shared" si="26"/>
        <v>18.716879999999996</v>
      </c>
      <c r="J91" s="110">
        <f t="shared" si="26"/>
        <v>18.716879999999996</v>
      </c>
      <c r="K91" s="110">
        <f t="shared" si="26"/>
        <v>18.716879999999996</v>
      </c>
    </row>
    <row r="92" spans="1:11" ht="12">
      <c r="A92" s="13" t="s">
        <v>20</v>
      </c>
      <c r="B92" s="103"/>
      <c r="C92" s="110">
        <f>(C84+C85+C86+C87+C88+C89+C90)*0.8</f>
        <v>21.39072</v>
      </c>
      <c r="D92" s="110">
        <f aca="true" t="shared" si="27" ref="D92:K92">(D84+D85+D86+D87+D88+D89+D90)*0.8</f>
        <v>21.39072</v>
      </c>
      <c r="E92" s="110">
        <f t="shared" si="27"/>
        <v>21.39072</v>
      </c>
      <c r="F92" s="110">
        <f t="shared" si="27"/>
        <v>21.39072</v>
      </c>
      <c r="G92" s="110">
        <f t="shared" si="27"/>
        <v>21.39072</v>
      </c>
      <c r="H92" s="110">
        <f t="shared" si="27"/>
        <v>21.39072</v>
      </c>
      <c r="I92" s="110">
        <f t="shared" si="27"/>
        <v>21.39072</v>
      </c>
      <c r="J92" s="110">
        <f t="shared" si="27"/>
        <v>21.39072</v>
      </c>
      <c r="K92" s="110">
        <f t="shared" si="27"/>
        <v>21.39072</v>
      </c>
    </row>
    <row r="93" spans="1:11" ht="12.75" thickBot="1">
      <c r="A93" s="17" t="s">
        <v>12</v>
      </c>
      <c r="B93" s="111"/>
      <c r="C93" s="111">
        <f>(SUM(C84:C92)*C83*12)*0.302</f>
        <v>242.24990400000002</v>
      </c>
      <c r="D93" s="111">
        <f aca="true" t="shared" si="28" ref="D93:K93">(SUM(D84:D92)*D83*12)*0.302</f>
        <v>242.24990400000002</v>
      </c>
      <c r="E93" s="111">
        <f t="shared" si="28"/>
        <v>242.24990400000002</v>
      </c>
      <c r="F93" s="111">
        <f t="shared" si="28"/>
        <v>242.24990400000002</v>
      </c>
      <c r="G93" s="111">
        <f t="shared" si="28"/>
        <v>242.24990400000002</v>
      </c>
      <c r="H93" s="111">
        <f t="shared" si="28"/>
        <v>242.24990400000002</v>
      </c>
      <c r="I93" s="111">
        <f t="shared" si="28"/>
        <v>242.24990400000002</v>
      </c>
      <c r="J93" s="111">
        <f t="shared" si="28"/>
        <v>121.12495200000001</v>
      </c>
      <c r="K93" s="111">
        <f t="shared" si="28"/>
        <v>242.24990400000002</v>
      </c>
    </row>
    <row r="94" spans="1:11" ht="12.75" thickBot="1">
      <c r="A94" s="18" t="s">
        <v>125</v>
      </c>
      <c r="B94" s="112">
        <f>SUM(C94:K94)</f>
        <v>8877.416184000002</v>
      </c>
      <c r="C94" s="112">
        <f>(SUM(C84:C92)*C83*12)+C93</f>
        <v>1044.401904</v>
      </c>
      <c r="D94" s="112">
        <f aca="true" t="shared" si="29" ref="D94:K94">(SUM(D84:D92)*D83*12)+D93</f>
        <v>1044.401904</v>
      </c>
      <c r="E94" s="112">
        <f t="shared" si="29"/>
        <v>1044.401904</v>
      </c>
      <c r="F94" s="112">
        <f t="shared" si="29"/>
        <v>1044.401904</v>
      </c>
      <c r="G94" s="112">
        <f t="shared" si="29"/>
        <v>1044.401904</v>
      </c>
      <c r="H94" s="112">
        <f t="shared" si="29"/>
        <v>1044.401904</v>
      </c>
      <c r="I94" s="112">
        <f t="shared" si="29"/>
        <v>1044.401904</v>
      </c>
      <c r="J94" s="112">
        <f t="shared" si="29"/>
        <v>522.200952</v>
      </c>
      <c r="K94" s="112">
        <f t="shared" si="29"/>
        <v>1044.401904</v>
      </c>
    </row>
    <row r="95" spans="1:11" ht="12.75" thickBot="1">
      <c r="A95" s="14"/>
      <c r="B95" s="113"/>
      <c r="C95" s="114"/>
      <c r="D95" s="114"/>
      <c r="E95" s="114"/>
      <c r="F95" s="114"/>
      <c r="G95" s="114"/>
      <c r="H95" s="114"/>
      <c r="I95" s="114"/>
      <c r="J95" s="114"/>
      <c r="K95" s="114"/>
    </row>
    <row r="96" spans="1:11" ht="12">
      <c r="A96" s="15" t="s">
        <v>476</v>
      </c>
      <c r="B96" s="107">
        <f>SUM(C96:K96)</f>
        <v>2</v>
      </c>
      <c r="C96" s="108">
        <v>2</v>
      </c>
      <c r="D96" s="108">
        <v>0</v>
      </c>
      <c r="E96" s="108">
        <v>0</v>
      </c>
      <c r="F96" s="108">
        <v>0</v>
      </c>
      <c r="G96" s="108">
        <v>0</v>
      </c>
      <c r="H96" s="108">
        <v>0</v>
      </c>
      <c r="I96" s="108">
        <v>0</v>
      </c>
      <c r="J96" s="108">
        <v>0</v>
      </c>
      <c r="K96" s="109">
        <v>0</v>
      </c>
    </row>
    <row r="97" spans="1:11" ht="12">
      <c r="A97" s="13" t="s">
        <v>21</v>
      </c>
      <c r="B97" s="103"/>
      <c r="C97" s="104">
        <f>5.321</f>
        <v>5.321</v>
      </c>
      <c r="D97" s="104"/>
      <c r="E97" s="104"/>
      <c r="F97" s="104"/>
      <c r="G97" s="104"/>
      <c r="H97" s="104"/>
      <c r="I97" s="104"/>
      <c r="J97" s="104"/>
      <c r="K97" s="104"/>
    </row>
    <row r="98" spans="1:11" ht="12">
      <c r="A98" s="13" t="s">
        <v>7</v>
      </c>
      <c r="B98" s="104"/>
      <c r="C98" s="110">
        <f>C97*0.6</f>
        <v>3.1925999999999997</v>
      </c>
      <c r="D98" s="110"/>
      <c r="E98" s="110"/>
      <c r="F98" s="110"/>
      <c r="G98" s="110"/>
      <c r="H98" s="110"/>
      <c r="I98" s="110"/>
      <c r="J98" s="110"/>
      <c r="K98" s="115"/>
    </row>
    <row r="99" spans="1:11" ht="12">
      <c r="A99" s="13" t="s">
        <v>9</v>
      </c>
      <c r="B99" s="104"/>
      <c r="C99" s="104">
        <f>C97*0.3</f>
        <v>1.5962999999999998</v>
      </c>
      <c r="D99" s="104"/>
      <c r="E99" s="104"/>
      <c r="F99" s="104"/>
      <c r="G99" s="104"/>
      <c r="H99" s="104"/>
      <c r="I99" s="104"/>
      <c r="J99" s="104"/>
      <c r="K99" s="116"/>
    </row>
    <row r="100" spans="1:11" ht="24">
      <c r="A100" s="13" t="s">
        <v>10</v>
      </c>
      <c r="B100" s="103"/>
      <c r="C100" s="110">
        <v>1.192</v>
      </c>
      <c r="D100" s="110"/>
      <c r="E100" s="110"/>
      <c r="F100" s="110"/>
      <c r="G100" s="110"/>
      <c r="H100" s="110"/>
      <c r="I100" s="110"/>
      <c r="J100" s="110"/>
      <c r="K100" s="115"/>
    </row>
    <row r="101" spans="1:11" ht="12">
      <c r="A101" s="13" t="s">
        <v>124</v>
      </c>
      <c r="B101" s="104"/>
      <c r="C101" s="110">
        <f>C97*2</f>
        <v>10.642</v>
      </c>
      <c r="D101" s="110"/>
      <c r="E101" s="110"/>
      <c r="F101" s="110"/>
      <c r="G101" s="110"/>
      <c r="H101" s="110"/>
      <c r="I101" s="110"/>
      <c r="J101" s="110"/>
      <c r="K101" s="110"/>
    </row>
    <row r="102" spans="1:11" ht="12">
      <c r="A102" s="13" t="s">
        <v>11</v>
      </c>
      <c r="B102" s="104"/>
      <c r="C102" s="110">
        <f>C97*0.25</f>
        <v>1.33025</v>
      </c>
      <c r="D102" s="110"/>
      <c r="E102" s="110"/>
      <c r="F102" s="110"/>
      <c r="G102" s="110"/>
      <c r="H102" s="110"/>
      <c r="I102" s="110"/>
      <c r="J102" s="110"/>
      <c r="K102" s="115"/>
    </row>
    <row r="103" spans="1:11" ht="36">
      <c r="A103" s="13" t="s">
        <v>22</v>
      </c>
      <c r="B103" s="104"/>
      <c r="C103" s="110">
        <f>C97*0.25</f>
        <v>1.33025</v>
      </c>
      <c r="D103" s="110"/>
      <c r="E103" s="110"/>
      <c r="F103" s="110"/>
      <c r="G103" s="110"/>
      <c r="H103" s="110"/>
      <c r="I103" s="110"/>
      <c r="J103" s="110"/>
      <c r="K103" s="115"/>
    </row>
    <row r="104" spans="1:11" ht="12">
      <c r="A104" s="13" t="s">
        <v>8</v>
      </c>
      <c r="B104" s="104"/>
      <c r="C104" s="110">
        <f>(C97+C98+C99+C100+C101+C102+C103)*0.7</f>
        <v>17.223079999999996</v>
      </c>
      <c r="D104" s="110"/>
      <c r="E104" s="110"/>
      <c r="F104" s="110"/>
      <c r="G104" s="110"/>
      <c r="H104" s="110"/>
      <c r="I104" s="110"/>
      <c r="J104" s="110"/>
      <c r="K104" s="115"/>
    </row>
    <row r="105" spans="1:11" ht="12">
      <c r="A105" s="13" t="s">
        <v>20</v>
      </c>
      <c r="B105" s="104"/>
      <c r="C105" s="110">
        <f>(C97+C98+C99+C100+C101+C102+C103)*0.8</f>
        <v>19.68352</v>
      </c>
      <c r="D105" s="110"/>
      <c r="E105" s="110"/>
      <c r="F105" s="110"/>
      <c r="G105" s="110"/>
      <c r="H105" s="110"/>
      <c r="I105" s="110"/>
      <c r="J105" s="110"/>
      <c r="K105" s="115"/>
    </row>
    <row r="106" spans="1:11" ht="12.75" thickBot="1">
      <c r="A106" s="17" t="s">
        <v>12</v>
      </c>
      <c r="B106" s="106"/>
      <c r="C106" s="111">
        <f>(SUM(C97:C105)*C96*12)*0.302</f>
        <v>445.83172799999994</v>
      </c>
      <c r="D106" s="111"/>
      <c r="E106" s="111"/>
      <c r="F106" s="111"/>
      <c r="G106" s="111"/>
      <c r="H106" s="111"/>
      <c r="I106" s="111"/>
      <c r="J106" s="111"/>
      <c r="K106" s="117"/>
    </row>
    <row r="107" spans="1:11" ht="12.75" thickBot="1">
      <c r="A107" s="18" t="s">
        <v>126</v>
      </c>
      <c r="B107" s="112">
        <f>SUM(C107:K107)</f>
        <v>1922.0957279999998</v>
      </c>
      <c r="C107" s="112">
        <f>(SUM(C97:C105)*C96*12)+C106</f>
        <v>1922.0957279999998</v>
      </c>
      <c r="D107" s="112"/>
      <c r="E107" s="112"/>
      <c r="F107" s="112"/>
      <c r="G107" s="112"/>
      <c r="H107" s="112"/>
      <c r="I107" s="112"/>
      <c r="J107" s="112"/>
      <c r="K107" s="118"/>
    </row>
    <row r="108" spans="1:11" ht="12" hidden="1">
      <c r="A108" s="65"/>
      <c r="B108" s="113"/>
      <c r="C108" s="113"/>
      <c r="D108" s="113"/>
      <c r="E108" s="113"/>
      <c r="F108" s="113"/>
      <c r="G108" s="113"/>
      <c r="H108" s="113"/>
      <c r="I108" s="113"/>
      <c r="J108" s="113"/>
      <c r="K108" s="119"/>
    </row>
    <row r="109" spans="1:11" ht="12.75" hidden="1" thickBot="1">
      <c r="A109" s="65"/>
      <c r="B109" s="113"/>
      <c r="C109" s="113"/>
      <c r="D109" s="113"/>
      <c r="E109" s="113"/>
      <c r="F109" s="113"/>
      <c r="G109" s="113"/>
      <c r="H109" s="113"/>
      <c r="I109" s="113"/>
      <c r="J109" s="113"/>
      <c r="K109" s="119"/>
    </row>
    <row r="110" spans="1:11" ht="12" hidden="1">
      <c r="A110" s="12"/>
      <c r="B110" s="107"/>
      <c r="C110" s="108"/>
      <c r="D110" s="108"/>
      <c r="E110" s="108"/>
      <c r="F110" s="108"/>
      <c r="G110" s="108"/>
      <c r="H110" s="108"/>
      <c r="I110" s="108"/>
      <c r="J110" s="108"/>
      <c r="K110" s="109"/>
    </row>
    <row r="111" spans="1:11" ht="12" hidden="1">
      <c r="A111" s="13"/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</row>
    <row r="112" spans="1:11" ht="12" hidden="1">
      <c r="A112" s="13"/>
      <c r="B112" s="103"/>
      <c r="C112" s="110"/>
      <c r="D112" s="110"/>
      <c r="E112" s="110"/>
      <c r="F112" s="110"/>
      <c r="G112" s="110"/>
      <c r="H112" s="110"/>
      <c r="I112" s="110"/>
      <c r="J112" s="110"/>
      <c r="K112" s="110"/>
    </row>
    <row r="113" spans="1:11" ht="12" hidden="1">
      <c r="A113" s="13"/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</row>
    <row r="114" spans="1:11" ht="12" hidden="1">
      <c r="A114" s="13"/>
      <c r="B114" s="103"/>
      <c r="C114" s="110"/>
      <c r="D114" s="110"/>
      <c r="E114" s="110"/>
      <c r="F114" s="110"/>
      <c r="G114" s="110"/>
      <c r="H114" s="110"/>
      <c r="I114" s="110"/>
      <c r="J114" s="110"/>
      <c r="K114" s="110"/>
    </row>
    <row r="115" spans="1:11" ht="12" hidden="1">
      <c r="A115" s="13"/>
      <c r="B115" s="103"/>
      <c r="C115" s="110"/>
      <c r="D115" s="110"/>
      <c r="E115" s="110"/>
      <c r="F115" s="110"/>
      <c r="G115" s="110"/>
      <c r="H115" s="110"/>
      <c r="I115" s="110"/>
      <c r="J115" s="110"/>
      <c r="K115" s="110"/>
    </row>
    <row r="116" spans="1:11" ht="12" hidden="1">
      <c r="A116" s="13"/>
      <c r="B116" s="103"/>
      <c r="C116" s="110"/>
      <c r="D116" s="110"/>
      <c r="E116" s="110"/>
      <c r="F116" s="110"/>
      <c r="G116" s="110"/>
      <c r="H116" s="110"/>
      <c r="I116" s="110"/>
      <c r="J116" s="110"/>
      <c r="K116" s="110"/>
    </row>
    <row r="117" spans="1:11" ht="12" hidden="1">
      <c r="A117" s="13"/>
      <c r="B117" s="103"/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1:11" ht="12" hidden="1">
      <c r="A118" s="13"/>
      <c r="B118" s="103"/>
      <c r="C118" s="110"/>
      <c r="D118" s="110"/>
      <c r="E118" s="110"/>
      <c r="F118" s="110"/>
      <c r="G118" s="110"/>
      <c r="H118" s="110"/>
      <c r="I118" s="110"/>
      <c r="J118" s="110"/>
      <c r="K118" s="110"/>
    </row>
    <row r="119" spans="1:11" ht="12" hidden="1">
      <c r="A119" s="13"/>
      <c r="B119" s="103"/>
      <c r="C119" s="110"/>
      <c r="D119" s="110"/>
      <c r="E119" s="110"/>
      <c r="F119" s="110"/>
      <c r="G119" s="110"/>
      <c r="H119" s="110"/>
      <c r="I119" s="110"/>
      <c r="J119" s="110"/>
      <c r="K119" s="110"/>
    </row>
    <row r="120" spans="1:11" ht="12.75" hidden="1" thickBot="1">
      <c r="A120" s="17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</row>
    <row r="121" spans="1:11" ht="12.75" hidden="1" thickBot="1">
      <c r="A121" s="18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</row>
    <row r="122" spans="1:11" ht="12.75" hidden="1" thickBot="1">
      <c r="A122" s="14"/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1:11" ht="12" hidden="1">
      <c r="A123" s="15"/>
      <c r="B123" s="107"/>
      <c r="C123" s="108"/>
      <c r="D123" s="108"/>
      <c r="E123" s="108"/>
      <c r="F123" s="108"/>
      <c r="G123" s="108"/>
      <c r="H123" s="108"/>
      <c r="I123" s="108"/>
      <c r="J123" s="108"/>
      <c r="K123" s="109"/>
    </row>
    <row r="124" spans="1:11" ht="12" hidden="1">
      <c r="A124" s="13"/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</row>
    <row r="125" spans="1:11" ht="12" hidden="1">
      <c r="A125" s="13"/>
      <c r="B125" s="104"/>
      <c r="C125" s="110"/>
      <c r="D125" s="110"/>
      <c r="E125" s="110"/>
      <c r="F125" s="110"/>
      <c r="G125" s="110"/>
      <c r="H125" s="110"/>
      <c r="I125" s="110"/>
      <c r="J125" s="110"/>
      <c r="K125" s="115"/>
    </row>
    <row r="126" spans="1:11" ht="12" hidden="1">
      <c r="A126" s="13"/>
      <c r="B126" s="104"/>
      <c r="C126" s="104"/>
      <c r="D126" s="104"/>
      <c r="E126" s="104"/>
      <c r="F126" s="104"/>
      <c r="G126" s="104"/>
      <c r="H126" s="104"/>
      <c r="I126" s="104"/>
      <c r="J126" s="104"/>
      <c r="K126" s="116"/>
    </row>
    <row r="127" spans="1:11" ht="12" hidden="1">
      <c r="A127" s="13"/>
      <c r="B127" s="103"/>
      <c r="C127" s="110"/>
      <c r="D127" s="110"/>
      <c r="E127" s="110"/>
      <c r="F127" s="110"/>
      <c r="G127" s="110"/>
      <c r="H127" s="110"/>
      <c r="I127" s="110"/>
      <c r="J127" s="110"/>
      <c r="K127" s="115"/>
    </row>
    <row r="128" spans="1:11" ht="12" hidden="1">
      <c r="A128" s="13"/>
      <c r="B128" s="104"/>
      <c r="C128" s="110"/>
      <c r="D128" s="110"/>
      <c r="E128" s="110"/>
      <c r="F128" s="110"/>
      <c r="G128" s="110"/>
      <c r="H128" s="110"/>
      <c r="I128" s="110"/>
      <c r="J128" s="110"/>
      <c r="K128" s="110"/>
    </row>
    <row r="129" spans="1:11" ht="12" hidden="1">
      <c r="A129" s="13"/>
      <c r="B129" s="104"/>
      <c r="C129" s="110"/>
      <c r="D129" s="110"/>
      <c r="E129" s="110"/>
      <c r="F129" s="110"/>
      <c r="G129" s="110"/>
      <c r="H129" s="110"/>
      <c r="I129" s="110"/>
      <c r="J129" s="110"/>
      <c r="K129" s="115"/>
    </row>
    <row r="130" spans="1:11" ht="12" hidden="1">
      <c r="A130" s="13"/>
      <c r="B130" s="104"/>
      <c r="C130" s="110"/>
      <c r="D130" s="110"/>
      <c r="E130" s="110"/>
      <c r="F130" s="110"/>
      <c r="G130" s="110"/>
      <c r="H130" s="110"/>
      <c r="I130" s="110"/>
      <c r="J130" s="110"/>
      <c r="K130" s="115"/>
    </row>
    <row r="131" spans="1:11" ht="12" hidden="1">
      <c r="A131" s="13"/>
      <c r="B131" s="104"/>
      <c r="C131" s="110"/>
      <c r="D131" s="110"/>
      <c r="E131" s="110"/>
      <c r="F131" s="110"/>
      <c r="G131" s="110"/>
      <c r="H131" s="110"/>
      <c r="I131" s="110"/>
      <c r="J131" s="110"/>
      <c r="K131" s="115"/>
    </row>
    <row r="132" spans="1:11" ht="12" hidden="1">
      <c r="A132" s="13"/>
      <c r="B132" s="104"/>
      <c r="C132" s="110"/>
      <c r="D132" s="110"/>
      <c r="E132" s="110"/>
      <c r="F132" s="110"/>
      <c r="G132" s="110"/>
      <c r="H132" s="110"/>
      <c r="I132" s="110"/>
      <c r="J132" s="110"/>
      <c r="K132" s="115"/>
    </row>
    <row r="133" spans="1:11" ht="12.75" hidden="1" thickBot="1">
      <c r="A133" s="17"/>
      <c r="B133" s="106"/>
      <c r="C133" s="111"/>
      <c r="D133" s="111"/>
      <c r="E133" s="111"/>
      <c r="F133" s="111"/>
      <c r="G133" s="111"/>
      <c r="H133" s="111"/>
      <c r="I133" s="111"/>
      <c r="J133" s="111"/>
      <c r="K133" s="117"/>
    </row>
    <row r="134" spans="1:11" ht="12.75" hidden="1" thickBot="1">
      <c r="A134" s="18"/>
      <c r="B134" s="112"/>
      <c r="C134" s="112"/>
      <c r="D134" s="112"/>
      <c r="E134" s="112"/>
      <c r="F134" s="112"/>
      <c r="G134" s="112"/>
      <c r="H134" s="112"/>
      <c r="I134" s="112"/>
      <c r="J134" s="112"/>
      <c r="K134" s="118"/>
    </row>
    <row r="135" ht="12" hidden="1">
      <c r="A135" s="65"/>
    </row>
    <row r="136" spans="1:11" ht="12">
      <c r="A136" s="16" t="s">
        <v>24</v>
      </c>
      <c r="B136" s="103">
        <f>SUM(C136:K136)</f>
        <v>87.8178</v>
      </c>
      <c r="C136" s="104">
        <f>(21*(C79/5))/1000</f>
        <v>37.5648</v>
      </c>
      <c r="D136" s="104">
        <f aca="true" t="shared" si="30" ref="D136:K136">(21*(D79/5))/1000</f>
        <v>7.7741999999999996</v>
      </c>
      <c r="E136" s="104">
        <f t="shared" si="30"/>
        <v>7.7238</v>
      </c>
      <c r="F136" s="104">
        <f t="shared" si="30"/>
        <v>6.4428</v>
      </c>
      <c r="G136" s="104">
        <f t="shared" si="30"/>
        <v>4.842599999999999</v>
      </c>
      <c r="H136" s="104">
        <f t="shared" si="30"/>
        <v>5.019</v>
      </c>
      <c r="I136" s="104">
        <f t="shared" si="30"/>
        <v>7.8456</v>
      </c>
      <c r="J136" s="104">
        <f t="shared" si="30"/>
        <v>0.7182000000000001</v>
      </c>
      <c r="K136" s="104">
        <f t="shared" si="30"/>
        <v>9.886800000000001</v>
      </c>
    </row>
    <row r="137" spans="1:11" ht="12">
      <c r="A137" s="16" t="s">
        <v>25</v>
      </c>
      <c r="B137" s="103">
        <f>SUM(C137:K137)</f>
        <v>133.79999999999998</v>
      </c>
      <c r="C137" s="104">
        <f>(750*12)/1000</f>
        <v>9</v>
      </c>
      <c r="D137" s="104">
        <f>(1300*12)/1000</f>
        <v>15.6</v>
      </c>
      <c r="E137" s="104">
        <f aca="true" t="shared" si="31" ref="E137:K137">(1300*12)/1000</f>
        <v>15.6</v>
      </c>
      <c r="F137" s="104">
        <f t="shared" si="31"/>
        <v>15.6</v>
      </c>
      <c r="G137" s="104">
        <f t="shared" si="31"/>
        <v>15.6</v>
      </c>
      <c r="H137" s="104">
        <f t="shared" si="31"/>
        <v>15.6</v>
      </c>
      <c r="I137" s="104">
        <f t="shared" si="31"/>
        <v>15.6</v>
      </c>
      <c r="J137" s="104">
        <f t="shared" si="31"/>
        <v>15.6</v>
      </c>
      <c r="K137" s="104">
        <f t="shared" si="31"/>
        <v>15.6</v>
      </c>
    </row>
    <row r="138" spans="1:11" ht="12">
      <c r="A138" s="16" t="s">
        <v>26</v>
      </c>
      <c r="B138" s="103">
        <f>SUM(C138:K138)</f>
        <v>81</v>
      </c>
      <c r="C138" s="104">
        <f>0.75*12</f>
        <v>9</v>
      </c>
      <c r="D138" s="104">
        <f aca="true" t="shared" si="32" ref="D138:K138">0.75*12</f>
        <v>9</v>
      </c>
      <c r="E138" s="104">
        <f t="shared" si="32"/>
        <v>9</v>
      </c>
      <c r="F138" s="104">
        <f t="shared" si="32"/>
        <v>9</v>
      </c>
      <c r="G138" s="104">
        <f t="shared" si="32"/>
        <v>9</v>
      </c>
      <c r="H138" s="104">
        <f t="shared" si="32"/>
        <v>9</v>
      </c>
      <c r="I138" s="104">
        <f t="shared" si="32"/>
        <v>9</v>
      </c>
      <c r="J138" s="104">
        <f t="shared" si="32"/>
        <v>9</v>
      </c>
      <c r="K138" s="104">
        <f t="shared" si="32"/>
        <v>9</v>
      </c>
    </row>
    <row r="139" spans="1:11" ht="24">
      <c r="A139" s="16" t="s">
        <v>27</v>
      </c>
      <c r="B139" s="120">
        <f>SUM(C139:K139)</f>
        <v>790.275</v>
      </c>
      <c r="C139" s="19">
        <f>5+(0.075*C140)</f>
        <v>325.625</v>
      </c>
      <c r="D139" s="19">
        <f aca="true" t="shared" si="33" ref="D139:K139">5+(0.075*D140)</f>
        <v>72.64999999999999</v>
      </c>
      <c r="E139" s="19">
        <f t="shared" si="33"/>
        <v>69.8</v>
      </c>
      <c r="F139" s="19">
        <f t="shared" si="33"/>
        <v>59.3</v>
      </c>
      <c r="G139" s="19">
        <f t="shared" si="33"/>
        <v>42.949999999999996</v>
      </c>
      <c r="H139" s="19">
        <f t="shared" si="33"/>
        <v>45.65</v>
      </c>
      <c r="I139" s="19">
        <f t="shared" si="33"/>
        <v>72.64999999999999</v>
      </c>
      <c r="J139" s="19">
        <f t="shared" si="33"/>
        <v>12.725</v>
      </c>
      <c r="K139" s="19">
        <f t="shared" si="33"/>
        <v>88.925</v>
      </c>
    </row>
    <row r="140" spans="1:11" ht="12">
      <c r="A140" s="20" t="s">
        <v>153</v>
      </c>
      <c r="B140" s="121"/>
      <c r="C140" s="21">
        <v>4275</v>
      </c>
      <c r="D140" s="21">
        <v>902</v>
      </c>
      <c r="E140" s="21">
        <v>864</v>
      </c>
      <c r="F140" s="21">
        <v>724</v>
      </c>
      <c r="G140" s="21">
        <v>506</v>
      </c>
      <c r="H140" s="21">
        <v>542</v>
      </c>
      <c r="I140" s="21">
        <v>902</v>
      </c>
      <c r="J140" s="21">
        <v>103</v>
      </c>
      <c r="K140" s="21">
        <v>1119</v>
      </c>
    </row>
    <row r="141" spans="1:11" ht="12">
      <c r="A141" s="16" t="s">
        <v>28</v>
      </c>
      <c r="B141" s="103">
        <f>SUM(C141:K141)</f>
        <v>594.8</v>
      </c>
      <c r="C141" s="104">
        <v>0</v>
      </c>
      <c r="D141" s="104">
        <f aca="true" t="shared" si="34" ref="D141:K141">(((500*10)+(2500*10)+(D142*2))*2)/1000</f>
        <v>60.8</v>
      </c>
      <c r="E141" s="104">
        <f t="shared" si="34"/>
        <v>63</v>
      </c>
      <c r="F141" s="104">
        <f t="shared" si="34"/>
        <v>63</v>
      </c>
      <c r="G141" s="104">
        <f t="shared" si="34"/>
        <v>72</v>
      </c>
      <c r="H141" s="104">
        <f t="shared" si="34"/>
        <v>72</v>
      </c>
      <c r="I141" s="104">
        <f t="shared" si="34"/>
        <v>72</v>
      </c>
      <c r="J141" s="104">
        <f t="shared" si="34"/>
        <v>120</v>
      </c>
      <c r="K141" s="104">
        <f t="shared" si="34"/>
        <v>72</v>
      </c>
    </row>
    <row r="142" spans="1:11" ht="12">
      <c r="A142" s="10" t="s">
        <v>23</v>
      </c>
      <c r="B142" s="103"/>
      <c r="C142" s="122">
        <v>0</v>
      </c>
      <c r="D142" s="122">
        <v>200</v>
      </c>
      <c r="E142" s="122">
        <v>750</v>
      </c>
      <c r="F142" s="122">
        <v>750</v>
      </c>
      <c r="G142" s="122">
        <v>3000</v>
      </c>
      <c r="H142" s="122">
        <v>3000</v>
      </c>
      <c r="I142" s="122">
        <v>3000</v>
      </c>
      <c r="J142" s="122">
        <v>15000</v>
      </c>
      <c r="K142" s="122">
        <v>3000</v>
      </c>
    </row>
    <row r="143" spans="1:11" ht="24">
      <c r="A143" s="16" t="s">
        <v>127</v>
      </c>
      <c r="B143" s="103">
        <f>SUM(C143:K143)</f>
        <v>600</v>
      </c>
      <c r="C143" s="697">
        <v>100</v>
      </c>
      <c r="D143" s="697">
        <v>0</v>
      </c>
      <c r="E143" s="697">
        <v>100</v>
      </c>
      <c r="F143" s="697">
        <v>100</v>
      </c>
      <c r="G143" s="697">
        <v>100</v>
      </c>
      <c r="H143" s="697">
        <v>100</v>
      </c>
      <c r="I143" s="697">
        <v>0</v>
      </c>
      <c r="J143" s="697">
        <v>0</v>
      </c>
      <c r="K143" s="697">
        <v>100</v>
      </c>
    </row>
    <row r="144" spans="1:11" ht="24">
      <c r="A144" s="16" t="s">
        <v>128</v>
      </c>
      <c r="B144" s="103">
        <f>SUM(C144:K144)</f>
        <v>326.7</v>
      </c>
      <c r="C144" s="697">
        <v>73.4</v>
      </c>
      <c r="D144" s="697">
        <v>61.5</v>
      </c>
      <c r="E144" s="697">
        <v>25</v>
      </c>
      <c r="F144" s="697">
        <v>30</v>
      </c>
      <c r="G144" s="697">
        <v>25</v>
      </c>
      <c r="H144" s="697">
        <v>62.5</v>
      </c>
      <c r="I144" s="697">
        <v>19.3</v>
      </c>
      <c r="J144" s="697">
        <v>0</v>
      </c>
      <c r="K144" s="697">
        <v>30</v>
      </c>
    </row>
    <row r="145" spans="1:11" ht="12">
      <c r="A145" s="16" t="s">
        <v>129</v>
      </c>
      <c r="B145" s="103">
        <f>SUM(C145:K145)</f>
        <v>196.3</v>
      </c>
      <c r="C145" s="697">
        <v>25</v>
      </c>
      <c r="D145" s="697">
        <v>2.3</v>
      </c>
      <c r="E145" s="697">
        <v>25</v>
      </c>
      <c r="F145" s="697">
        <v>25</v>
      </c>
      <c r="G145" s="697">
        <v>25</v>
      </c>
      <c r="H145" s="697">
        <v>19</v>
      </c>
      <c r="I145" s="697">
        <v>25</v>
      </c>
      <c r="J145" s="697">
        <v>25</v>
      </c>
      <c r="K145" s="697">
        <v>25</v>
      </c>
    </row>
    <row r="146" spans="1:11" ht="12">
      <c r="A146" s="162" t="s">
        <v>13</v>
      </c>
      <c r="B146" s="123">
        <f>SUM(C146:K146)</f>
        <v>13610.199999999999</v>
      </c>
      <c r="C146" s="123">
        <v>3546.2</v>
      </c>
      <c r="D146" s="123">
        <v>1274</v>
      </c>
      <c r="E146" s="123">
        <v>1359.5</v>
      </c>
      <c r="F146" s="123">
        <v>1352.7</v>
      </c>
      <c r="G146" s="123">
        <v>1338.8</v>
      </c>
      <c r="H146" s="123">
        <v>1373.2</v>
      </c>
      <c r="I146" s="123">
        <v>1265.8</v>
      </c>
      <c r="J146" s="123">
        <v>705.2</v>
      </c>
      <c r="K146" s="123">
        <v>1394.8</v>
      </c>
    </row>
    <row r="147" ht="12"/>
    <row r="148" ht="12"/>
    <row r="149" ht="12"/>
    <row r="150" ht="12"/>
    <row r="151" spans="1:11" ht="63" customHeight="1">
      <c r="A151" s="1295" t="s">
        <v>155</v>
      </c>
      <c r="B151" s="1295"/>
      <c r="C151" s="1295"/>
      <c r="D151" s="1295"/>
      <c r="E151" s="1295"/>
      <c r="F151" s="1295"/>
      <c r="G151" s="1295"/>
      <c r="H151" s="1295"/>
      <c r="I151" s="1295"/>
      <c r="J151" s="1295"/>
      <c r="K151" s="1295"/>
    </row>
    <row r="152" ht="12">
      <c r="K152" s="2" t="s">
        <v>4</v>
      </c>
    </row>
    <row r="153" spans="1:11" ht="36">
      <c r="A153" s="7" t="s">
        <v>5</v>
      </c>
      <c r="B153" s="7" t="s">
        <v>2</v>
      </c>
      <c r="C153" s="698" t="s">
        <v>163</v>
      </c>
      <c r="D153" s="4" t="s">
        <v>0</v>
      </c>
      <c r="E153" s="4" t="s">
        <v>59</v>
      </c>
      <c r="F153" s="4" t="s">
        <v>58</v>
      </c>
      <c r="G153" s="4" t="s">
        <v>478</v>
      </c>
      <c r="H153" s="4" t="s">
        <v>479</v>
      </c>
      <c r="I153" s="4" t="s">
        <v>57</v>
      </c>
      <c r="J153" s="4" t="s">
        <v>1</v>
      </c>
      <c r="K153" s="4" t="s">
        <v>33</v>
      </c>
    </row>
    <row r="154" spans="1:11" ht="12">
      <c r="A154" s="8" t="s">
        <v>149</v>
      </c>
      <c r="B154" s="100">
        <f>SUM(C154:K154)</f>
        <v>20909</v>
      </c>
      <c r="C154" s="101">
        <v>8944</v>
      </c>
      <c r="D154" s="101">
        <v>1851</v>
      </c>
      <c r="E154" s="101">
        <v>1839</v>
      </c>
      <c r="F154" s="101">
        <v>1534</v>
      </c>
      <c r="G154" s="101">
        <v>1153</v>
      </c>
      <c r="H154" s="101">
        <v>1195</v>
      </c>
      <c r="I154" s="101">
        <v>1868</v>
      </c>
      <c r="J154" s="101">
        <v>171</v>
      </c>
      <c r="K154" s="101">
        <v>2354</v>
      </c>
    </row>
    <row r="155" spans="1:11" ht="12">
      <c r="A155" s="9" t="s">
        <v>14</v>
      </c>
      <c r="B155" s="102">
        <f>SUM(C155:K155)</f>
        <v>10799.511912</v>
      </c>
      <c r="C155" s="103">
        <f>C169+C182+C196+C209</f>
        <v>2966.4976319999996</v>
      </c>
      <c r="D155" s="103">
        <f aca="true" t="shared" si="35" ref="D155:K155">D169+D182+D196+D209</f>
        <v>1044.401904</v>
      </c>
      <c r="E155" s="103">
        <f t="shared" si="35"/>
        <v>1044.401904</v>
      </c>
      <c r="F155" s="103">
        <f t="shared" si="35"/>
        <v>1044.401904</v>
      </c>
      <c r="G155" s="103">
        <f t="shared" si="35"/>
        <v>1044.401904</v>
      </c>
      <c r="H155" s="103">
        <f t="shared" si="35"/>
        <v>1044.401904</v>
      </c>
      <c r="I155" s="103">
        <f t="shared" si="35"/>
        <v>1044.401904</v>
      </c>
      <c r="J155" s="103">
        <f t="shared" si="35"/>
        <v>522.200952</v>
      </c>
      <c r="K155" s="103">
        <f t="shared" si="35"/>
        <v>1044.401904</v>
      </c>
    </row>
    <row r="156" spans="1:11" ht="12">
      <c r="A156" s="5" t="s">
        <v>15</v>
      </c>
      <c r="B156" s="103">
        <f>SUM(C156:K156)</f>
        <v>10.5</v>
      </c>
      <c r="C156" s="104">
        <f aca="true" t="shared" si="36" ref="C156:K156">C158+C171</f>
        <v>3</v>
      </c>
      <c r="D156" s="104">
        <f t="shared" si="36"/>
        <v>1</v>
      </c>
      <c r="E156" s="104">
        <v>1</v>
      </c>
      <c r="F156" s="104">
        <v>1</v>
      </c>
      <c r="G156" s="104">
        <v>1</v>
      </c>
      <c r="H156" s="104">
        <v>1</v>
      </c>
      <c r="I156" s="104">
        <v>1</v>
      </c>
      <c r="J156" s="104">
        <f t="shared" si="36"/>
        <v>0.5</v>
      </c>
      <c r="K156" s="104">
        <f t="shared" si="36"/>
        <v>1</v>
      </c>
    </row>
    <row r="157" spans="1:11" ht="12.75" thickBot="1">
      <c r="A157" s="11" t="s">
        <v>16</v>
      </c>
      <c r="B157" s="105"/>
      <c r="C157" s="106"/>
      <c r="D157" s="106"/>
      <c r="E157" s="106"/>
      <c r="F157" s="106"/>
      <c r="G157" s="106"/>
      <c r="H157" s="106"/>
      <c r="I157" s="106"/>
      <c r="J157" s="106"/>
      <c r="K157" s="106"/>
    </row>
    <row r="158" spans="1:11" ht="12">
      <c r="A158" s="12" t="s">
        <v>475</v>
      </c>
      <c r="B158" s="107">
        <f>SUM(C158:K158)</f>
        <v>8.5</v>
      </c>
      <c r="C158" s="108">
        <v>1</v>
      </c>
      <c r="D158" s="108">
        <v>1</v>
      </c>
      <c r="E158" s="108">
        <v>1</v>
      </c>
      <c r="F158" s="108">
        <v>1</v>
      </c>
      <c r="G158" s="108">
        <v>1</v>
      </c>
      <c r="H158" s="108">
        <v>1</v>
      </c>
      <c r="I158" s="108">
        <v>1</v>
      </c>
      <c r="J158" s="108">
        <v>0.5</v>
      </c>
      <c r="K158" s="109">
        <v>1</v>
      </c>
    </row>
    <row r="159" spans="1:11" ht="12">
      <c r="A159" s="13" t="s">
        <v>17</v>
      </c>
      <c r="B159" s="103"/>
      <c r="C159" s="104">
        <f>5.806</f>
        <v>5.806</v>
      </c>
      <c r="D159" s="104">
        <f aca="true" t="shared" si="37" ref="D159:K159">5.806</f>
        <v>5.806</v>
      </c>
      <c r="E159" s="104">
        <f t="shared" si="37"/>
        <v>5.806</v>
      </c>
      <c r="F159" s="104">
        <f t="shared" si="37"/>
        <v>5.806</v>
      </c>
      <c r="G159" s="104">
        <f t="shared" si="37"/>
        <v>5.806</v>
      </c>
      <c r="H159" s="104">
        <f t="shared" si="37"/>
        <v>5.806</v>
      </c>
      <c r="I159" s="104">
        <f t="shared" si="37"/>
        <v>5.806</v>
      </c>
      <c r="J159" s="104">
        <f t="shared" si="37"/>
        <v>5.806</v>
      </c>
      <c r="K159" s="104">
        <f t="shared" si="37"/>
        <v>5.806</v>
      </c>
    </row>
    <row r="160" spans="1:11" ht="12">
      <c r="A160" s="13" t="s">
        <v>18</v>
      </c>
      <c r="B160" s="103"/>
      <c r="C160" s="110">
        <f>C159*0.6</f>
        <v>3.4836</v>
      </c>
      <c r="D160" s="110">
        <f aca="true" t="shared" si="38" ref="D160:K160">D159*0.6</f>
        <v>3.4836</v>
      </c>
      <c r="E160" s="110">
        <f t="shared" si="38"/>
        <v>3.4836</v>
      </c>
      <c r="F160" s="110">
        <f t="shared" si="38"/>
        <v>3.4836</v>
      </c>
      <c r="G160" s="110">
        <f t="shared" si="38"/>
        <v>3.4836</v>
      </c>
      <c r="H160" s="110">
        <f t="shared" si="38"/>
        <v>3.4836</v>
      </c>
      <c r="I160" s="110">
        <f t="shared" si="38"/>
        <v>3.4836</v>
      </c>
      <c r="J160" s="110">
        <f t="shared" si="38"/>
        <v>3.4836</v>
      </c>
      <c r="K160" s="110">
        <f t="shared" si="38"/>
        <v>3.4836</v>
      </c>
    </row>
    <row r="161" spans="1:11" ht="12">
      <c r="A161" s="13" t="s">
        <v>9</v>
      </c>
      <c r="B161" s="103"/>
      <c r="C161" s="104">
        <f>C159*0.3</f>
        <v>1.7418</v>
      </c>
      <c r="D161" s="104">
        <f aca="true" t="shared" si="39" ref="D161:K161">D159*0.3</f>
        <v>1.7418</v>
      </c>
      <c r="E161" s="104">
        <f t="shared" si="39"/>
        <v>1.7418</v>
      </c>
      <c r="F161" s="104">
        <f t="shared" si="39"/>
        <v>1.7418</v>
      </c>
      <c r="G161" s="104">
        <f t="shared" si="39"/>
        <v>1.7418</v>
      </c>
      <c r="H161" s="104">
        <f t="shared" si="39"/>
        <v>1.7418</v>
      </c>
      <c r="I161" s="104">
        <f t="shared" si="39"/>
        <v>1.7418</v>
      </c>
      <c r="J161" s="104">
        <f t="shared" si="39"/>
        <v>1.7418</v>
      </c>
      <c r="K161" s="104">
        <f t="shared" si="39"/>
        <v>1.7418</v>
      </c>
    </row>
    <row r="162" spans="1:11" ht="24">
      <c r="A162" s="13" t="s">
        <v>10</v>
      </c>
      <c r="B162" s="103"/>
      <c r="C162" s="110">
        <v>1.192</v>
      </c>
      <c r="D162" s="110">
        <v>1.192</v>
      </c>
      <c r="E162" s="110">
        <v>1.192</v>
      </c>
      <c r="F162" s="110">
        <v>1.192</v>
      </c>
      <c r="G162" s="110">
        <v>1.192</v>
      </c>
      <c r="H162" s="110">
        <v>1.192</v>
      </c>
      <c r="I162" s="110">
        <v>1.192</v>
      </c>
      <c r="J162" s="110">
        <v>1.192</v>
      </c>
      <c r="K162" s="110">
        <v>1.192</v>
      </c>
    </row>
    <row r="163" spans="1:11" ht="12">
      <c r="A163" s="13" t="s">
        <v>124</v>
      </c>
      <c r="B163" s="103"/>
      <c r="C163" s="110">
        <f>C159*2</f>
        <v>11.612</v>
      </c>
      <c r="D163" s="110">
        <f aca="true" t="shared" si="40" ref="D163:K163">D159*2</f>
        <v>11.612</v>
      </c>
      <c r="E163" s="110">
        <f t="shared" si="40"/>
        <v>11.612</v>
      </c>
      <c r="F163" s="110">
        <f t="shared" si="40"/>
        <v>11.612</v>
      </c>
      <c r="G163" s="110">
        <f t="shared" si="40"/>
        <v>11.612</v>
      </c>
      <c r="H163" s="110">
        <f t="shared" si="40"/>
        <v>11.612</v>
      </c>
      <c r="I163" s="110">
        <f t="shared" si="40"/>
        <v>11.612</v>
      </c>
      <c r="J163" s="110">
        <f t="shared" si="40"/>
        <v>11.612</v>
      </c>
      <c r="K163" s="110">
        <f t="shared" si="40"/>
        <v>11.612</v>
      </c>
    </row>
    <row r="164" spans="1:11" ht="12">
      <c r="A164" s="13" t="s">
        <v>11</v>
      </c>
      <c r="B164" s="103"/>
      <c r="C164" s="110">
        <f>C159*0.25</f>
        <v>1.4515</v>
      </c>
      <c r="D164" s="110">
        <f aca="true" t="shared" si="41" ref="D164:K164">D159*0.25</f>
        <v>1.4515</v>
      </c>
      <c r="E164" s="110">
        <f t="shared" si="41"/>
        <v>1.4515</v>
      </c>
      <c r="F164" s="110">
        <f t="shared" si="41"/>
        <v>1.4515</v>
      </c>
      <c r="G164" s="110">
        <f t="shared" si="41"/>
        <v>1.4515</v>
      </c>
      <c r="H164" s="110">
        <f t="shared" si="41"/>
        <v>1.4515</v>
      </c>
      <c r="I164" s="110">
        <f t="shared" si="41"/>
        <v>1.4515</v>
      </c>
      <c r="J164" s="110">
        <f t="shared" si="41"/>
        <v>1.4515</v>
      </c>
      <c r="K164" s="110">
        <f t="shared" si="41"/>
        <v>1.4515</v>
      </c>
    </row>
    <row r="165" spans="1:11" ht="36">
      <c r="A165" s="13" t="s">
        <v>19</v>
      </c>
      <c r="B165" s="103"/>
      <c r="C165" s="110">
        <f>C159*0.25</f>
        <v>1.4515</v>
      </c>
      <c r="D165" s="110">
        <f aca="true" t="shared" si="42" ref="D165:K165">D159*0.25</f>
        <v>1.4515</v>
      </c>
      <c r="E165" s="110">
        <f t="shared" si="42"/>
        <v>1.4515</v>
      </c>
      <c r="F165" s="110">
        <f t="shared" si="42"/>
        <v>1.4515</v>
      </c>
      <c r="G165" s="110">
        <f t="shared" si="42"/>
        <v>1.4515</v>
      </c>
      <c r="H165" s="110">
        <f t="shared" si="42"/>
        <v>1.4515</v>
      </c>
      <c r="I165" s="110">
        <f t="shared" si="42"/>
        <v>1.4515</v>
      </c>
      <c r="J165" s="110">
        <f t="shared" si="42"/>
        <v>1.4515</v>
      </c>
      <c r="K165" s="110">
        <f t="shared" si="42"/>
        <v>1.4515</v>
      </c>
    </row>
    <row r="166" spans="1:11" ht="12">
      <c r="A166" s="13" t="s">
        <v>8</v>
      </c>
      <c r="B166" s="103"/>
      <c r="C166" s="110">
        <f>(C159+C160+C161+C162+C163+C164+C165)*0.7</f>
        <v>18.716879999999996</v>
      </c>
      <c r="D166" s="110">
        <f aca="true" t="shared" si="43" ref="D166:K166">(D159+D160+D161+D162+D163+D164+D165)*0.7</f>
        <v>18.716879999999996</v>
      </c>
      <c r="E166" s="110">
        <f t="shared" si="43"/>
        <v>18.716879999999996</v>
      </c>
      <c r="F166" s="110">
        <f t="shared" si="43"/>
        <v>18.716879999999996</v>
      </c>
      <c r="G166" s="110">
        <f t="shared" si="43"/>
        <v>18.716879999999996</v>
      </c>
      <c r="H166" s="110">
        <f t="shared" si="43"/>
        <v>18.716879999999996</v>
      </c>
      <c r="I166" s="110">
        <f t="shared" si="43"/>
        <v>18.716879999999996</v>
      </c>
      <c r="J166" s="110">
        <f t="shared" si="43"/>
        <v>18.716879999999996</v>
      </c>
      <c r="K166" s="110">
        <f t="shared" si="43"/>
        <v>18.716879999999996</v>
      </c>
    </row>
    <row r="167" spans="1:11" ht="12">
      <c r="A167" s="13" t="s">
        <v>20</v>
      </c>
      <c r="B167" s="103"/>
      <c r="C167" s="110">
        <f>(C159+C160+C161+C162+C163+C164+C165)*0.8</f>
        <v>21.39072</v>
      </c>
      <c r="D167" s="110">
        <f aca="true" t="shared" si="44" ref="D167:K167">(D159+D160+D161+D162+D163+D164+D165)*0.8</f>
        <v>21.39072</v>
      </c>
      <c r="E167" s="110">
        <f t="shared" si="44"/>
        <v>21.39072</v>
      </c>
      <c r="F167" s="110">
        <f t="shared" si="44"/>
        <v>21.39072</v>
      </c>
      <c r="G167" s="110">
        <f t="shared" si="44"/>
        <v>21.39072</v>
      </c>
      <c r="H167" s="110">
        <f t="shared" si="44"/>
        <v>21.39072</v>
      </c>
      <c r="I167" s="110">
        <f t="shared" si="44"/>
        <v>21.39072</v>
      </c>
      <c r="J167" s="110">
        <f t="shared" si="44"/>
        <v>21.39072</v>
      </c>
      <c r="K167" s="110">
        <f t="shared" si="44"/>
        <v>21.39072</v>
      </c>
    </row>
    <row r="168" spans="1:11" ht="12.75" thickBot="1">
      <c r="A168" s="17" t="s">
        <v>12</v>
      </c>
      <c r="B168" s="111"/>
      <c r="C168" s="111">
        <f>(SUM(C159:C167)*C158*12)*0.302</f>
        <v>242.24990400000002</v>
      </c>
      <c r="D168" s="111">
        <f aca="true" t="shared" si="45" ref="D168:K168">(SUM(D159:D167)*D158*12)*0.302</f>
        <v>242.24990400000002</v>
      </c>
      <c r="E168" s="111">
        <f t="shared" si="45"/>
        <v>242.24990400000002</v>
      </c>
      <c r="F168" s="111">
        <f t="shared" si="45"/>
        <v>242.24990400000002</v>
      </c>
      <c r="G168" s="111">
        <f t="shared" si="45"/>
        <v>242.24990400000002</v>
      </c>
      <c r="H168" s="111">
        <f t="shared" si="45"/>
        <v>242.24990400000002</v>
      </c>
      <c r="I168" s="111">
        <f t="shared" si="45"/>
        <v>242.24990400000002</v>
      </c>
      <c r="J168" s="111">
        <f t="shared" si="45"/>
        <v>121.12495200000001</v>
      </c>
      <c r="K168" s="111">
        <f t="shared" si="45"/>
        <v>242.24990400000002</v>
      </c>
    </row>
    <row r="169" spans="1:11" ht="12.75" thickBot="1">
      <c r="A169" s="18" t="s">
        <v>125</v>
      </c>
      <c r="B169" s="112">
        <f>SUM(C169:K169)</f>
        <v>8877.416184000002</v>
      </c>
      <c r="C169" s="112">
        <f>(SUM(C159:C167)*C158*12)+C168</f>
        <v>1044.401904</v>
      </c>
      <c r="D169" s="112">
        <f aca="true" t="shared" si="46" ref="D169:K169">(SUM(D159:D167)*D158*12)+D168</f>
        <v>1044.401904</v>
      </c>
      <c r="E169" s="112">
        <f t="shared" si="46"/>
        <v>1044.401904</v>
      </c>
      <c r="F169" s="112">
        <f t="shared" si="46"/>
        <v>1044.401904</v>
      </c>
      <c r="G169" s="112">
        <f t="shared" si="46"/>
        <v>1044.401904</v>
      </c>
      <c r="H169" s="112">
        <f t="shared" si="46"/>
        <v>1044.401904</v>
      </c>
      <c r="I169" s="112">
        <f t="shared" si="46"/>
        <v>1044.401904</v>
      </c>
      <c r="J169" s="112">
        <f t="shared" si="46"/>
        <v>522.200952</v>
      </c>
      <c r="K169" s="112">
        <f t="shared" si="46"/>
        <v>1044.401904</v>
      </c>
    </row>
    <row r="170" spans="1:11" ht="12.75" thickBot="1">
      <c r="A170" s="14"/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1:11" ht="12">
      <c r="A171" s="15" t="s">
        <v>476</v>
      </c>
      <c r="B171" s="107">
        <f>SUM(C171:K171)</f>
        <v>2</v>
      </c>
      <c r="C171" s="108">
        <v>2</v>
      </c>
      <c r="D171" s="108">
        <v>0</v>
      </c>
      <c r="E171" s="108">
        <v>0</v>
      </c>
      <c r="F171" s="108">
        <v>0</v>
      </c>
      <c r="G171" s="108">
        <v>0</v>
      </c>
      <c r="H171" s="108">
        <v>0</v>
      </c>
      <c r="I171" s="108">
        <v>0</v>
      </c>
      <c r="J171" s="108">
        <v>0</v>
      </c>
      <c r="K171" s="109">
        <v>0</v>
      </c>
    </row>
    <row r="172" spans="1:11" ht="12">
      <c r="A172" s="13" t="s">
        <v>21</v>
      </c>
      <c r="B172" s="103"/>
      <c r="C172" s="104">
        <f>5.321</f>
        <v>5.321</v>
      </c>
      <c r="D172" s="104"/>
      <c r="E172" s="104"/>
      <c r="F172" s="104"/>
      <c r="G172" s="104"/>
      <c r="H172" s="104"/>
      <c r="I172" s="104"/>
      <c r="J172" s="104"/>
      <c r="K172" s="104"/>
    </row>
    <row r="173" spans="1:11" ht="12">
      <c r="A173" s="13" t="s">
        <v>7</v>
      </c>
      <c r="B173" s="104"/>
      <c r="C173" s="110">
        <f>C172*0.6</f>
        <v>3.1925999999999997</v>
      </c>
      <c r="D173" s="110"/>
      <c r="E173" s="110"/>
      <c r="F173" s="110"/>
      <c r="G173" s="110"/>
      <c r="H173" s="110"/>
      <c r="I173" s="110"/>
      <c r="J173" s="110"/>
      <c r="K173" s="115"/>
    </row>
    <row r="174" spans="1:11" ht="12">
      <c r="A174" s="13" t="s">
        <v>9</v>
      </c>
      <c r="B174" s="104"/>
      <c r="C174" s="104">
        <f>C172*0.3</f>
        <v>1.5962999999999998</v>
      </c>
      <c r="D174" s="104"/>
      <c r="E174" s="104"/>
      <c r="F174" s="104"/>
      <c r="G174" s="104"/>
      <c r="H174" s="104"/>
      <c r="I174" s="104"/>
      <c r="J174" s="104"/>
      <c r="K174" s="116"/>
    </row>
    <row r="175" spans="1:11" ht="24">
      <c r="A175" s="13" t="s">
        <v>10</v>
      </c>
      <c r="B175" s="103"/>
      <c r="C175" s="110">
        <v>1.192</v>
      </c>
      <c r="D175" s="110"/>
      <c r="E175" s="110"/>
      <c r="F175" s="110"/>
      <c r="G175" s="110"/>
      <c r="H175" s="110"/>
      <c r="I175" s="110"/>
      <c r="J175" s="110"/>
      <c r="K175" s="115"/>
    </row>
    <row r="176" spans="1:11" ht="12">
      <c r="A176" s="13" t="s">
        <v>124</v>
      </c>
      <c r="B176" s="104"/>
      <c r="C176" s="110">
        <f>C172*2</f>
        <v>10.642</v>
      </c>
      <c r="D176" s="110"/>
      <c r="E176" s="110"/>
      <c r="F176" s="110"/>
      <c r="G176" s="110"/>
      <c r="H176" s="110"/>
      <c r="I176" s="110"/>
      <c r="J176" s="110"/>
      <c r="K176" s="110"/>
    </row>
    <row r="177" spans="1:11" ht="12">
      <c r="A177" s="13" t="s">
        <v>11</v>
      </c>
      <c r="B177" s="104"/>
      <c r="C177" s="110">
        <f>C172*0.25</f>
        <v>1.33025</v>
      </c>
      <c r="D177" s="110"/>
      <c r="E177" s="110"/>
      <c r="F177" s="110"/>
      <c r="G177" s="110"/>
      <c r="H177" s="110"/>
      <c r="I177" s="110"/>
      <c r="J177" s="110"/>
      <c r="K177" s="115"/>
    </row>
    <row r="178" spans="1:11" ht="36">
      <c r="A178" s="13" t="s">
        <v>22</v>
      </c>
      <c r="B178" s="104"/>
      <c r="C178" s="110">
        <f>C172*0.25</f>
        <v>1.33025</v>
      </c>
      <c r="D178" s="110"/>
      <c r="E178" s="110"/>
      <c r="F178" s="110"/>
      <c r="G178" s="110"/>
      <c r="H178" s="110"/>
      <c r="I178" s="110"/>
      <c r="J178" s="110"/>
      <c r="K178" s="115"/>
    </row>
    <row r="179" spans="1:11" ht="12">
      <c r="A179" s="13" t="s">
        <v>8</v>
      </c>
      <c r="B179" s="104"/>
      <c r="C179" s="110">
        <f>(C172+C173+C174+C175+C176+C177+C178)*0.7</f>
        <v>17.223079999999996</v>
      </c>
      <c r="D179" s="110"/>
      <c r="E179" s="110"/>
      <c r="F179" s="110"/>
      <c r="G179" s="110"/>
      <c r="H179" s="110"/>
      <c r="I179" s="110"/>
      <c r="J179" s="110"/>
      <c r="K179" s="115"/>
    </row>
    <row r="180" spans="1:11" ht="12">
      <c r="A180" s="13" t="s">
        <v>20</v>
      </c>
      <c r="B180" s="104"/>
      <c r="C180" s="110">
        <f>(C172+C173+C174+C175+C176+C177+C178)*0.8</f>
        <v>19.68352</v>
      </c>
      <c r="D180" s="110"/>
      <c r="E180" s="110"/>
      <c r="F180" s="110"/>
      <c r="G180" s="110"/>
      <c r="H180" s="110"/>
      <c r="I180" s="110"/>
      <c r="J180" s="110"/>
      <c r="K180" s="115"/>
    </row>
    <row r="181" spans="1:11" ht="12.75" thickBot="1">
      <c r="A181" s="17" t="s">
        <v>12</v>
      </c>
      <c r="B181" s="106"/>
      <c r="C181" s="111">
        <f>(SUM(C172:C180)*C171*12)*0.302</f>
        <v>445.83172799999994</v>
      </c>
      <c r="D181" s="111"/>
      <c r="E181" s="111"/>
      <c r="F181" s="111"/>
      <c r="G181" s="111"/>
      <c r="H181" s="111"/>
      <c r="I181" s="111"/>
      <c r="J181" s="111"/>
      <c r="K181" s="117"/>
    </row>
    <row r="182" spans="1:11" ht="12.75" thickBot="1">
      <c r="A182" s="18" t="s">
        <v>126</v>
      </c>
      <c r="B182" s="112">
        <f>SUM(C182:K182)</f>
        <v>1922.0957279999998</v>
      </c>
      <c r="C182" s="112">
        <f>(SUM(C172:C180)*C171*12)+C181</f>
        <v>1922.0957279999998</v>
      </c>
      <c r="D182" s="112"/>
      <c r="E182" s="112"/>
      <c r="F182" s="112"/>
      <c r="G182" s="112"/>
      <c r="H182" s="112"/>
      <c r="I182" s="112"/>
      <c r="J182" s="112"/>
      <c r="K182" s="118"/>
    </row>
    <row r="183" spans="1:11" ht="12" hidden="1">
      <c r="A183" s="65"/>
      <c r="B183" s="113"/>
      <c r="C183" s="113"/>
      <c r="D183" s="113"/>
      <c r="E183" s="113"/>
      <c r="F183" s="113"/>
      <c r="G183" s="113"/>
      <c r="H183" s="113"/>
      <c r="I183" s="113"/>
      <c r="J183" s="113"/>
      <c r="K183" s="119"/>
    </row>
    <row r="184" spans="1:11" ht="12.75" hidden="1" thickBot="1">
      <c r="A184" s="65"/>
      <c r="B184" s="113"/>
      <c r="C184" s="113"/>
      <c r="D184" s="113"/>
      <c r="E184" s="113"/>
      <c r="F184" s="113"/>
      <c r="G184" s="113"/>
      <c r="H184" s="113"/>
      <c r="I184" s="113"/>
      <c r="J184" s="113"/>
      <c r="K184" s="119"/>
    </row>
    <row r="185" spans="1:11" ht="12" hidden="1">
      <c r="A185" s="12"/>
      <c r="B185" s="107"/>
      <c r="C185" s="108"/>
      <c r="D185" s="108"/>
      <c r="E185" s="108"/>
      <c r="F185" s="108"/>
      <c r="G185" s="108"/>
      <c r="H185" s="108"/>
      <c r="I185" s="108"/>
      <c r="J185" s="108"/>
      <c r="K185" s="109"/>
    </row>
    <row r="186" spans="1:11" ht="12" hidden="1">
      <c r="A186" s="13"/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</row>
    <row r="187" spans="1:11" ht="12" hidden="1">
      <c r="A187" s="13"/>
      <c r="B187" s="103"/>
      <c r="C187" s="110"/>
      <c r="D187" s="110"/>
      <c r="E187" s="110"/>
      <c r="F187" s="110"/>
      <c r="G187" s="110"/>
      <c r="H187" s="110"/>
      <c r="I187" s="110"/>
      <c r="J187" s="110"/>
      <c r="K187" s="110"/>
    </row>
    <row r="188" spans="1:11" ht="12" hidden="1">
      <c r="A188" s="13"/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</row>
    <row r="189" spans="1:11" ht="12" hidden="1">
      <c r="A189" s="13"/>
      <c r="B189" s="103"/>
      <c r="C189" s="110"/>
      <c r="D189" s="110"/>
      <c r="E189" s="110"/>
      <c r="F189" s="110"/>
      <c r="G189" s="110"/>
      <c r="H189" s="110"/>
      <c r="I189" s="110"/>
      <c r="J189" s="110"/>
      <c r="K189" s="110"/>
    </row>
    <row r="190" spans="1:11" ht="12" hidden="1">
      <c r="A190" s="13"/>
      <c r="B190" s="103"/>
      <c r="C190" s="110"/>
      <c r="D190" s="110"/>
      <c r="E190" s="110"/>
      <c r="F190" s="110"/>
      <c r="G190" s="110"/>
      <c r="H190" s="110"/>
      <c r="I190" s="110"/>
      <c r="J190" s="110"/>
      <c r="K190" s="110"/>
    </row>
    <row r="191" spans="1:11" ht="12" hidden="1">
      <c r="A191" s="13"/>
      <c r="B191" s="103"/>
      <c r="C191" s="110"/>
      <c r="D191" s="110"/>
      <c r="E191" s="110"/>
      <c r="F191" s="110"/>
      <c r="G191" s="110"/>
      <c r="H191" s="110"/>
      <c r="I191" s="110"/>
      <c r="J191" s="110"/>
      <c r="K191" s="110"/>
    </row>
    <row r="192" spans="1:11" ht="12" hidden="1">
      <c r="A192" s="13"/>
      <c r="B192" s="103"/>
      <c r="C192" s="110"/>
      <c r="D192" s="110"/>
      <c r="E192" s="110"/>
      <c r="F192" s="110"/>
      <c r="G192" s="110"/>
      <c r="H192" s="110"/>
      <c r="I192" s="110"/>
      <c r="J192" s="110"/>
      <c r="K192" s="110"/>
    </row>
    <row r="193" spans="1:11" ht="12" hidden="1">
      <c r="A193" s="13"/>
      <c r="B193" s="103"/>
      <c r="C193" s="110"/>
      <c r="D193" s="110"/>
      <c r="E193" s="110"/>
      <c r="F193" s="110"/>
      <c r="G193" s="110"/>
      <c r="H193" s="110"/>
      <c r="I193" s="110"/>
      <c r="J193" s="110"/>
      <c r="K193" s="110"/>
    </row>
    <row r="194" spans="1:11" ht="12" hidden="1">
      <c r="A194" s="13"/>
      <c r="B194" s="103"/>
      <c r="C194" s="110"/>
      <c r="D194" s="110"/>
      <c r="E194" s="110"/>
      <c r="F194" s="110"/>
      <c r="G194" s="110"/>
      <c r="H194" s="110"/>
      <c r="I194" s="110"/>
      <c r="J194" s="110"/>
      <c r="K194" s="110"/>
    </row>
    <row r="195" spans="1:11" ht="12.75" hidden="1" thickBot="1">
      <c r="A195" s="17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</row>
    <row r="196" spans="1:11" ht="12.75" hidden="1" thickBot="1">
      <c r="A196" s="18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</row>
    <row r="197" spans="1:11" ht="12.75" hidden="1" thickBot="1">
      <c r="A197" s="14"/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</row>
    <row r="198" spans="1:11" ht="12" hidden="1">
      <c r="A198" s="15"/>
      <c r="B198" s="107"/>
      <c r="C198" s="108"/>
      <c r="D198" s="108"/>
      <c r="E198" s="108"/>
      <c r="F198" s="108"/>
      <c r="G198" s="108"/>
      <c r="H198" s="108"/>
      <c r="I198" s="108"/>
      <c r="J198" s="108"/>
      <c r="K198" s="109"/>
    </row>
    <row r="199" spans="1:11" ht="12" hidden="1">
      <c r="A199" s="13"/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</row>
    <row r="200" spans="1:11" ht="12" hidden="1">
      <c r="A200" s="13"/>
      <c r="B200" s="104"/>
      <c r="C200" s="110"/>
      <c r="D200" s="110"/>
      <c r="E200" s="110"/>
      <c r="F200" s="110"/>
      <c r="G200" s="110"/>
      <c r="H200" s="110"/>
      <c r="I200" s="110"/>
      <c r="J200" s="110"/>
      <c r="K200" s="115"/>
    </row>
    <row r="201" spans="1:11" ht="12" hidden="1">
      <c r="A201" s="13"/>
      <c r="B201" s="104"/>
      <c r="C201" s="104"/>
      <c r="D201" s="104"/>
      <c r="E201" s="104"/>
      <c r="F201" s="104"/>
      <c r="G201" s="104"/>
      <c r="H201" s="104"/>
      <c r="I201" s="104"/>
      <c r="J201" s="104"/>
      <c r="K201" s="116"/>
    </row>
    <row r="202" spans="1:11" ht="12" hidden="1">
      <c r="A202" s="13"/>
      <c r="B202" s="103"/>
      <c r="C202" s="110"/>
      <c r="D202" s="110"/>
      <c r="E202" s="110"/>
      <c r="F202" s="110"/>
      <c r="G202" s="110"/>
      <c r="H202" s="110"/>
      <c r="I202" s="110"/>
      <c r="J202" s="110"/>
      <c r="K202" s="115"/>
    </row>
    <row r="203" spans="1:11" ht="12" hidden="1">
      <c r="A203" s="13"/>
      <c r="B203" s="104"/>
      <c r="C203" s="110"/>
      <c r="D203" s="110"/>
      <c r="E203" s="110"/>
      <c r="F203" s="110"/>
      <c r="G203" s="110"/>
      <c r="H203" s="110"/>
      <c r="I203" s="110"/>
      <c r="J203" s="110"/>
      <c r="K203" s="110"/>
    </row>
    <row r="204" spans="1:11" ht="12" hidden="1">
      <c r="A204" s="13"/>
      <c r="B204" s="104"/>
      <c r="C204" s="110"/>
      <c r="D204" s="110"/>
      <c r="E204" s="110"/>
      <c r="F204" s="110"/>
      <c r="G204" s="110"/>
      <c r="H204" s="110"/>
      <c r="I204" s="110"/>
      <c r="J204" s="110"/>
      <c r="K204" s="115"/>
    </row>
    <row r="205" spans="1:11" ht="12" hidden="1">
      <c r="A205" s="13"/>
      <c r="B205" s="104"/>
      <c r="C205" s="110"/>
      <c r="D205" s="110"/>
      <c r="E205" s="110"/>
      <c r="F205" s="110"/>
      <c r="G205" s="110"/>
      <c r="H205" s="110"/>
      <c r="I205" s="110"/>
      <c r="J205" s="110"/>
      <c r="K205" s="115"/>
    </row>
    <row r="206" spans="1:11" ht="12" hidden="1">
      <c r="A206" s="13"/>
      <c r="B206" s="104"/>
      <c r="C206" s="110"/>
      <c r="D206" s="110"/>
      <c r="E206" s="110"/>
      <c r="F206" s="110"/>
      <c r="G206" s="110"/>
      <c r="H206" s="110"/>
      <c r="I206" s="110"/>
      <c r="J206" s="110"/>
      <c r="K206" s="115"/>
    </row>
    <row r="207" spans="1:11" ht="12" hidden="1">
      <c r="A207" s="13"/>
      <c r="B207" s="104"/>
      <c r="C207" s="110"/>
      <c r="D207" s="110"/>
      <c r="E207" s="110"/>
      <c r="F207" s="110"/>
      <c r="G207" s="110"/>
      <c r="H207" s="110"/>
      <c r="I207" s="110"/>
      <c r="J207" s="110"/>
      <c r="K207" s="115"/>
    </row>
    <row r="208" spans="1:11" ht="12.75" hidden="1" thickBot="1">
      <c r="A208" s="17"/>
      <c r="B208" s="106"/>
      <c r="C208" s="111"/>
      <c r="D208" s="111"/>
      <c r="E208" s="111"/>
      <c r="F208" s="111"/>
      <c r="G208" s="111"/>
      <c r="H208" s="111"/>
      <c r="I208" s="111"/>
      <c r="J208" s="111"/>
      <c r="K208" s="117"/>
    </row>
    <row r="209" spans="1:11" ht="12.75" hidden="1" thickBot="1">
      <c r="A209" s="18"/>
      <c r="B209" s="112"/>
      <c r="C209" s="112"/>
      <c r="D209" s="112"/>
      <c r="E209" s="112"/>
      <c r="F209" s="112"/>
      <c r="G209" s="112"/>
      <c r="H209" s="112"/>
      <c r="I209" s="112"/>
      <c r="J209" s="112"/>
      <c r="K209" s="118"/>
    </row>
    <row r="210" ht="12" hidden="1">
      <c r="A210" s="65"/>
    </row>
    <row r="211" spans="1:11" ht="12">
      <c r="A211" s="16" t="s">
        <v>24</v>
      </c>
      <c r="B211" s="103">
        <f>SUM(C211:K211)</f>
        <v>0</v>
      </c>
      <c r="C211" s="104">
        <f>C223*$C$84</f>
        <v>0</v>
      </c>
      <c r="D211" s="104">
        <f aca="true" t="shared" si="47" ref="D211:K211">D223*$C$84</f>
        <v>0</v>
      </c>
      <c r="E211" s="104">
        <f t="shared" si="47"/>
        <v>0</v>
      </c>
      <c r="F211" s="104">
        <f t="shared" si="47"/>
        <v>0</v>
      </c>
      <c r="G211" s="104">
        <f t="shared" si="47"/>
        <v>0</v>
      </c>
      <c r="H211" s="104">
        <f t="shared" si="47"/>
        <v>0</v>
      </c>
      <c r="I211" s="104">
        <f t="shared" si="47"/>
        <v>0</v>
      </c>
      <c r="J211" s="104">
        <f t="shared" si="47"/>
        <v>0</v>
      </c>
      <c r="K211" s="104">
        <f t="shared" si="47"/>
        <v>0</v>
      </c>
    </row>
    <row r="212" spans="1:11" ht="12">
      <c r="A212" s="16" t="s">
        <v>25</v>
      </c>
      <c r="B212" s="103">
        <f>SUM(C212:K212)</f>
        <v>0</v>
      </c>
      <c r="C212" s="104">
        <f aca="true" t="shared" si="48" ref="C212:K213">C224*$C$84</f>
        <v>0</v>
      </c>
      <c r="D212" s="104">
        <f t="shared" si="48"/>
        <v>0</v>
      </c>
      <c r="E212" s="104">
        <f t="shared" si="48"/>
        <v>0</v>
      </c>
      <c r="F212" s="104">
        <f t="shared" si="48"/>
        <v>0</v>
      </c>
      <c r="G212" s="104">
        <f t="shared" si="48"/>
        <v>0</v>
      </c>
      <c r="H212" s="104">
        <f t="shared" si="48"/>
        <v>0</v>
      </c>
      <c r="I212" s="104">
        <f t="shared" si="48"/>
        <v>0</v>
      </c>
      <c r="J212" s="104">
        <f t="shared" si="48"/>
        <v>0</v>
      </c>
      <c r="K212" s="104">
        <f t="shared" si="48"/>
        <v>0</v>
      </c>
    </row>
    <row r="213" spans="1:11" ht="12">
      <c r="A213" s="16" t="s">
        <v>26</v>
      </c>
      <c r="B213" s="103">
        <f>SUM(C213:K213)</f>
        <v>0</v>
      </c>
      <c r="C213" s="104">
        <f t="shared" si="48"/>
        <v>0</v>
      </c>
      <c r="D213" s="104">
        <f t="shared" si="48"/>
        <v>0</v>
      </c>
      <c r="E213" s="104">
        <f t="shared" si="48"/>
        <v>0</v>
      </c>
      <c r="F213" s="104">
        <f t="shared" si="48"/>
        <v>0</v>
      </c>
      <c r="G213" s="104">
        <f t="shared" si="48"/>
        <v>0</v>
      </c>
      <c r="H213" s="104">
        <f t="shared" si="48"/>
        <v>0</v>
      </c>
      <c r="I213" s="104">
        <f t="shared" si="48"/>
        <v>0</v>
      </c>
      <c r="J213" s="104">
        <f t="shared" si="48"/>
        <v>0</v>
      </c>
      <c r="K213" s="104">
        <f t="shared" si="48"/>
        <v>0</v>
      </c>
    </row>
    <row r="214" spans="1:11" ht="24">
      <c r="A214" s="16" t="s">
        <v>27</v>
      </c>
      <c r="B214" s="120">
        <f>SUM(C214:K214)</f>
        <v>790.275</v>
      </c>
      <c r="C214" s="19">
        <f>5+(0.075*C215)</f>
        <v>325.625</v>
      </c>
      <c r="D214" s="19">
        <f aca="true" t="shared" si="49" ref="D214:K214">5+(0.075*D215)</f>
        <v>72.64999999999999</v>
      </c>
      <c r="E214" s="19">
        <f t="shared" si="49"/>
        <v>69.8</v>
      </c>
      <c r="F214" s="19">
        <f t="shared" si="49"/>
        <v>59.3</v>
      </c>
      <c r="G214" s="19">
        <f t="shared" si="49"/>
        <v>42.949999999999996</v>
      </c>
      <c r="H214" s="19">
        <f t="shared" si="49"/>
        <v>45.65</v>
      </c>
      <c r="I214" s="19">
        <f t="shared" si="49"/>
        <v>72.64999999999999</v>
      </c>
      <c r="J214" s="19">
        <f t="shared" si="49"/>
        <v>12.725</v>
      </c>
      <c r="K214" s="19">
        <f t="shared" si="49"/>
        <v>88.925</v>
      </c>
    </row>
    <row r="215" spans="1:11" ht="12">
      <c r="A215" s="20" t="s">
        <v>153</v>
      </c>
      <c r="B215" s="121"/>
      <c r="C215" s="21">
        <v>4275</v>
      </c>
      <c r="D215" s="21">
        <v>902</v>
      </c>
      <c r="E215" s="21">
        <v>864</v>
      </c>
      <c r="F215" s="21">
        <v>724</v>
      </c>
      <c r="G215" s="21">
        <v>506</v>
      </c>
      <c r="H215" s="21">
        <v>542</v>
      </c>
      <c r="I215" s="21">
        <v>902</v>
      </c>
      <c r="J215" s="21">
        <v>103</v>
      </c>
      <c r="K215" s="21">
        <v>1119</v>
      </c>
    </row>
    <row r="216" spans="1:11" ht="12">
      <c r="A216" s="16" t="s">
        <v>28</v>
      </c>
      <c r="B216" s="103">
        <f>SUM(C216:K216)</f>
        <v>594.8</v>
      </c>
      <c r="C216" s="104">
        <v>0</v>
      </c>
      <c r="D216" s="104">
        <f aca="true" t="shared" si="50" ref="D216:K216">(((500*10)+(2500*10)+(D217*2))*2)/1000</f>
        <v>60.8</v>
      </c>
      <c r="E216" s="104">
        <f t="shared" si="50"/>
        <v>63</v>
      </c>
      <c r="F216" s="104">
        <f t="shared" si="50"/>
        <v>63</v>
      </c>
      <c r="G216" s="104">
        <f t="shared" si="50"/>
        <v>72</v>
      </c>
      <c r="H216" s="104">
        <f t="shared" si="50"/>
        <v>72</v>
      </c>
      <c r="I216" s="104">
        <f t="shared" si="50"/>
        <v>72</v>
      </c>
      <c r="J216" s="104">
        <f t="shared" si="50"/>
        <v>120</v>
      </c>
      <c r="K216" s="104">
        <f t="shared" si="50"/>
        <v>72</v>
      </c>
    </row>
    <row r="217" spans="1:11" ht="12">
      <c r="A217" s="10" t="s">
        <v>23</v>
      </c>
      <c r="B217" s="103"/>
      <c r="C217" s="122">
        <v>0</v>
      </c>
      <c r="D217" s="122">
        <v>200</v>
      </c>
      <c r="E217" s="122">
        <v>750</v>
      </c>
      <c r="F217" s="122">
        <v>750</v>
      </c>
      <c r="G217" s="122">
        <v>3000</v>
      </c>
      <c r="H217" s="122">
        <v>3000</v>
      </c>
      <c r="I217" s="122">
        <v>3000</v>
      </c>
      <c r="J217" s="122">
        <v>15000</v>
      </c>
      <c r="K217" s="122">
        <v>3000</v>
      </c>
    </row>
    <row r="218" spans="1:11" ht="24">
      <c r="A218" s="16" t="s">
        <v>127</v>
      </c>
      <c r="B218" s="103">
        <f>SUM(C218:K218)</f>
        <v>600</v>
      </c>
      <c r="C218" s="697">
        <v>100</v>
      </c>
      <c r="D218" s="697">
        <v>0</v>
      </c>
      <c r="E218" s="697">
        <v>100</v>
      </c>
      <c r="F218" s="697">
        <v>100</v>
      </c>
      <c r="G218" s="697">
        <v>100</v>
      </c>
      <c r="H218" s="697">
        <v>100</v>
      </c>
      <c r="I218" s="697">
        <v>0</v>
      </c>
      <c r="J218" s="697">
        <v>0</v>
      </c>
      <c r="K218" s="697">
        <v>100</v>
      </c>
    </row>
    <row r="219" spans="1:11" ht="24">
      <c r="A219" s="16" t="s">
        <v>128</v>
      </c>
      <c r="B219" s="103">
        <f>SUM(C219:K219)</f>
        <v>0</v>
      </c>
      <c r="C219" s="697">
        <f>C231*$C$84</f>
        <v>0</v>
      </c>
      <c r="D219" s="697">
        <f aca="true" t="shared" si="51" ref="D219:K220">D231*$C$84</f>
        <v>0</v>
      </c>
      <c r="E219" s="697">
        <f t="shared" si="51"/>
        <v>0</v>
      </c>
      <c r="F219" s="697">
        <f t="shared" si="51"/>
        <v>0</v>
      </c>
      <c r="G219" s="697">
        <f t="shared" si="51"/>
        <v>0</v>
      </c>
      <c r="H219" s="697">
        <f t="shared" si="51"/>
        <v>0</v>
      </c>
      <c r="I219" s="697">
        <f t="shared" si="51"/>
        <v>0</v>
      </c>
      <c r="J219" s="697">
        <f t="shared" si="51"/>
        <v>0</v>
      </c>
      <c r="K219" s="697">
        <f t="shared" si="51"/>
        <v>0</v>
      </c>
    </row>
    <row r="220" spans="1:11" ht="12">
      <c r="A220" s="16" t="s">
        <v>129</v>
      </c>
      <c r="B220" s="103">
        <f>SUM(C220:K220)</f>
        <v>0</v>
      </c>
      <c r="C220" s="697">
        <f>C232*$C$84</f>
        <v>0</v>
      </c>
      <c r="D220" s="697">
        <f t="shared" si="51"/>
        <v>0</v>
      </c>
      <c r="E220" s="697">
        <f t="shared" si="51"/>
        <v>0</v>
      </c>
      <c r="F220" s="697">
        <f t="shared" si="51"/>
        <v>0</v>
      </c>
      <c r="G220" s="697">
        <f t="shared" si="51"/>
        <v>0</v>
      </c>
      <c r="H220" s="697">
        <f t="shared" si="51"/>
        <v>0</v>
      </c>
      <c r="I220" s="697">
        <f t="shared" si="51"/>
        <v>0</v>
      </c>
      <c r="J220" s="697">
        <f t="shared" si="51"/>
        <v>0</v>
      </c>
      <c r="K220" s="697">
        <f t="shared" si="51"/>
        <v>0</v>
      </c>
    </row>
    <row r="221" spans="1:11" ht="12">
      <c r="A221" s="162" t="s">
        <v>13</v>
      </c>
      <c r="B221" s="123">
        <v>13647.357512999999</v>
      </c>
      <c r="C221" s="123">
        <v>3553.015848</v>
      </c>
      <c r="D221" s="123">
        <v>1278.3539429999998</v>
      </c>
      <c r="E221" s="123">
        <v>1363.230275</v>
      </c>
      <c r="F221" s="123">
        <v>1356.6166299999998</v>
      </c>
      <c r="G221" s="123">
        <v>1342.3694209999999</v>
      </c>
      <c r="H221" s="123">
        <v>1378.171259</v>
      </c>
      <c r="I221" s="123">
        <v>1269.251056</v>
      </c>
      <c r="J221" s="123">
        <v>707.5084710000001</v>
      </c>
      <c r="K221" s="123">
        <v>1398.8406099999997</v>
      </c>
    </row>
    <row r="236" ht="12"/>
    <row r="237" ht="12"/>
    <row r="238" ht="12"/>
    <row r="239" ht="12"/>
    <row r="240" ht="12"/>
    <row r="241" ht="12"/>
    <row r="242" ht="12"/>
  </sheetData>
  <sheetProtection/>
  <mergeCells count="3">
    <mergeCell ref="A1:K1"/>
    <mergeCell ref="A76:K76"/>
    <mergeCell ref="A151:K151"/>
  </mergeCells>
  <printOptions/>
  <pageMargins left="0.7" right="0.7" top="0.75" bottom="0.75" header="0.3" footer="0.3"/>
  <pageSetup fitToHeight="0" fitToWidth="1" orientation="portrait" paperSize="9" scale="5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0"/>
  <sheetViews>
    <sheetView view="pageBreakPreview" zoomScaleSheetLayoutView="100" zoomScalePageLayoutView="0" workbookViewId="0" topLeftCell="A35">
      <selection activeCell="AR35" sqref="AR35:AR59"/>
    </sheetView>
  </sheetViews>
  <sheetFormatPr defaultColWidth="9.00390625" defaultRowHeight="12.75"/>
  <cols>
    <col min="1" max="1" width="37.875" style="1071" customWidth="1"/>
    <col min="2" max="2" width="11.375" style="1071" hidden="1" customWidth="1"/>
    <col min="3" max="3" width="9.75390625" style="1071" hidden="1" customWidth="1"/>
    <col min="4" max="4" width="4.625" style="1071" hidden="1" customWidth="1"/>
    <col min="5" max="5" width="24.875" style="1072" customWidth="1"/>
    <col min="6" max="6" width="17.00390625" style="1072" customWidth="1"/>
    <col min="7" max="39" width="0" style="1072" hidden="1" customWidth="1"/>
    <col min="40" max="40" width="14.25390625" style="1072" hidden="1" customWidth="1"/>
    <col min="41" max="41" width="23.75390625" style="1072" customWidth="1"/>
    <col min="42" max="42" width="25.00390625" style="1072" customWidth="1"/>
    <col min="43" max="43" width="21.375" style="1073" customWidth="1"/>
    <col min="44" max="44" width="25.625" style="1072" customWidth="1"/>
    <col min="45" max="16384" width="9.125" style="94" customWidth="1"/>
  </cols>
  <sheetData>
    <row r="1" spans="1:44" ht="20.25">
      <c r="A1" s="1296" t="s">
        <v>486</v>
      </c>
      <c r="B1" s="1296"/>
      <c r="C1" s="1296"/>
      <c r="D1" s="1296"/>
      <c r="E1" s="1296"/>
      <c r="F1" s="1296"/>
      <c r="G1" s="1296"/>
      <c r="H1" s="1296"/>
      <c r="I1" s="1296"/>
      <c r="J1" s="1296"/>
      <c r="K1" s="1296"/>
      <c r="L1" s="1296"/>
      <c r="M1" s="1296"/>
      <c r="N1" s="1296"/>
      <c r="O1" s="1296"/>
      <c r="P1" s="1296"/>
      <c r="Q1" s="1296"/>
      <c r="R1" s="1296"/>
      <c r="S1" s="1296"/>
      <c r="T1" s="1296"/>
      <c r="U1" s="1296"/>
      <c r="V1" s="1296"/>
      <c r="W1" s="1296"/>
      <c r="X1" s="1296"/>
      <c r="Y1" s="1296"/>
      <c r="Z1" s="1296"/>
      <c r="AA1" s="1296"/>
      <c r="AB1" s="1296"/>
      <c r="AC1" s="1296"/>
      <c r="AD1" s="1296"/>
      <c r="AE1" s="1296"/>
      <c r="AF1" s="1296"/>
      <c r="AG1" s="1296"/>
      <c r="AH1" s="1296"/>
      <c r="AI1" s="1296"/>
      <c r="AJ1" s="1296"/>
      <c r="AK1" s="1296"/>
      <c r="AL1" s="1296"/>
      <c r="AM1" s="1296"/>
      <c r="AN1" s="1296"/>
      <c r="AO1" s="1296"/>
      <c r="AP1" s="1296"/>
      <c r="AQ1" s="1296"/>
      <c r="AR1" s="1296"/>
    </row>
    <row r="2" spans="1:44" ht="21">
      <c r="A2" s="1039"/>
      <c r="B2" s="1039"/>
      <c r="C2" s="1039"/>
      <c r="D2" s="1039"/>
      <c r="E2" s="1039"/>
      <c r="F2" s="1039"/>
      <c r="G2" s="1039"/>
      <c r="H2" s="1039"/>
      <c r="I2" s="1039"/>
      <c r="J2" s="1039"/>
      <c r="K2" s="1039"/>
      <c r="L2" s="1039"/>
      <c r="M2" s="1039"/>
      <c r="N2" s="1039"/>
      <c r="O2" s="1039"/>
      <c r="P2" s="1039"/>
      <c r="Q2" s="1039"/>
      <c r="R2" s="1040"/>
      <c r="S2" s="1041"/>
      <c r="T2" s="1041"/>
      <c r="U2" s="1041"/>
      <c r="V2" s="1041"/>
      <c r="W2" s="1041"/>
      <c r="X2" s="1041"/>
      <c r="Y2" s="1041"/>
      <c r="Z2" s="1041"/>
      <c r="AA2" s="1041"/>
      <c r="AB2" s="1041"/>
      <c r="AC2" s="1041"/>
      <c r="AD2" s="1041"/>
      <c r="AE2" s="1041"/>
      <c r="AF2" s="1041"/>
      <c r="AG2" s="1041"/>
      <c r="AH2" s="1041"/>
      <c r="AI2" s="1041"/>
      <c r="AJ2" s="1041"/>
      <c r="AK2" s="1041"/>
      <c r="AL2" s="1041"/>
      <c r="AM2" s="1041"/>
      <c r="AN2" s="1041"/>
      <c r="AO2" s="1042"/>
      <c r="AP2" s="1042"/>
      <c r="AQ2" s="1043"/>
      <c r="AR2" s="1042"/>
    </row>
    <row r="3" spans="1:44" ht="243">
      <c r="A3" s="1044"/>
      <c r="B3" s="1045" t="s">
        <v>527</v>
      </c>
      <c r="C3" s="1045" t="s">
        <v>528</v>
      </c>
      <c r="D3" s="1045" t="s">
        <v>529</v>
      </c>
      <c r="E3" s="1046" t="s">
        <v>167</v>
      </c>
      <c r="F3" s="1046" t="s">
        <v>168</v>
      </c>
      <c r="G3" s="1047" t="s">
        <v>530</v>
      </c>
      <c r="H3" s="1047" t="s">
        <v>531</v>
      </c>
      <c r="I3" s="1047" t="s">
        <v>532</v>
      </c>
      <c r="J3" s="1047" t="s">
        <v>533</v>
      </c>
      <c r="K3" s="1047" t="s">
        <v>534</v>
      </c>
      <c r="L3" s="1047" t="s">
        <v>535</v>
      </c>
      <c r="M3" s="1047" t="s">
        <v>536</v>
      </c>
      <c r="N3" s="1047" t="s">
        <v>537</v>
      </c>
      <c r="O3" s="1047" t="s">
        <v>538</v>
      </c>
      <c r="P3" s="1047" t="s">
        <v>539</v>
      </c>
      <c r="Q3" s="1047" t="s">
        <v>540</v>
      </c>
      <c r="R3" s="1047" t="s">
        <v>541</v>
      </c>
      <c r="S3" s="1047" t="s">
        <v>542</v>
      </c>
      <c r="T3" s="1047" t="s">
        <v>543</v>
      </c>
      <c r="U3" s="1047" t="s">
        <v>544</v>
      </c>
      <c r="V3" s="1047" t="s">
        <v>545</v>
      </c>
      <c r="W3" s="1047" t="s">
        <v>546</v>
      </c>
      <c r="X3" s="1047" t="s">
        <v>547</v>
      </c>
      <c r="Y3" s="1047" t="s">
        <v>548</v>
      </c>
      <c r="Z3" s="1047" t="s">
        <v>549</v>
      </c>
      <c r="AA3" s="1047" t="s">
        <v>550</v>
      </c>
      <c r="AB3" s="1047" t="s">
        <v>551</v>
      </c>
      <c r="AC3" s="1047" t="s">
        <v>552</v>
      </c>
      <c r="AD3" s="1047" t="s">
        <v>553</v>
      </c>
      <c r="AE3" s="1047" t="s">
        <v>554</v>
      </c>
      <c r="AF3" s="1047" t="s">
        <v>555</v>
      </c>
      <c r="AG3" s="1047" t="s">
        <v>556</v>
      </c>
      <c r="AH3" s="1047" t="s">
        <v>557</v>
      </c>
      <c r="AI3" s="1047" t="s">
        <v>558</v>
      </c>
      <c r="AJ3" s="1047" t="s">
        <v>559</v>
      </c>
      <c r="AK3" s="1047" t="s">
        <v>560</v>
      </c>
      <c r="AL3" s="1047" t="s">
        <v>561</v>
      </c>
      <c r="AM3" s="1047" t="s">
        <v>562</v>
      </c>
      <c r="AN3" s="1047" t="s">
        <v>563</v>
      </c>
      <c r="AO3" s="1048" t="s">
        <v>564</v>
      </c>
      <c r="AP3" s="1048" t="s">
        <v>565</v>
      </c>
      <c r="AQ3" s="1049" t="s">
        <v>566</v>
      </c>
      <c r="AR3" s="1048" t="s">
        <v>567</v>
      </c>
    </row>
    <row r="4" spans="1:44" s="96" customFormat="1" ht="35.25" customHeight="1">
      <c r="A4" s="1050" t="s">
        <v>101</v>
      </c>
      <c r="B4" s="1051">
        <v>6.505859907028006</v>
      </c>
      <c r="C4" s="1052">
        <v>7.719995794785535</v>
      </c>
      <c r="D4" s="1052">
        <v>5.291724019270475</v>
      </c>
      <c r="E4" s="1053">
        <v>4756</v>
      </c>
      <c r="F4" s="1053">
        <v>8718</v>
      </c>
      <c r="G4" s="1053">
        <v>1377</v>
      </c>
      <c r="H4" s="1053">
        <v>1056</v>
      </c>
      <c r="I4" s="1053">
        <v>731</v>
      </c>
      <c r="J4" s="1053">
        <v>34</v>
      </c>
      <c r="K4" s="1053">
        <v>358</v>
      </c>
      <c r="L4" s="1053">
        <v>89</v>
      </c>
      <c r="M4" s="1053">
        <v>1255</v>
      </c>
      <c r="N4" s="1053">
        <v>192</v>
      </c>
      <c r="O4" s="1053">
        <v>612</v>
      </c>
      <c r="P4" s="1053">
        <v>0</v>
      </c>
      <c r="Q4" s="1053">
        <v>1967</v>
      </c>
      <c r="R4" s="1053">
        <v>5335</v>
      </c>
      <c r="S4" s="1053">
        <v>121</v>
      </c>
      <c r="T4" s="1053">
        <v>264</v>
      </c>
      <c r="U4" s="1053">
        <v>0</v>
      </c>
      <c r="V4" s="1053">
        <v>0</v>
      </c>
      <c r="W4" s="1053">
        <v>937</v>
      </c>
      <c r="X4" s="1054">
        <v>6.75</v>
      </c>
      <c r="Y4" s="1053">
        <v>9.05</v>
      </c>
      <c r="Z4" s="1053">
        <v>7.5</v>
      </c>
      <c r="AA4" s="1053">
        <v>7.25</v>
      </c>
      <c r="AB4" s="1053">
        <v>7.75</v>
      </c>
      <c r="AC4" s="1053">
        <v>10</v>
      </c>
      <c r="AD4" s="1053">
        <v>6.75</v>
      </c>
      <c r="AE4" s="1053">
        <v>9</v>
      </c>
      <c r="AF4" s="1053">
        <v>6</v>
      </c>
      <c r="AG4" s="1053">
        <v>2</v>
      </c>
      <c r="AH4" s="1053">
        <v>5.5</v>
      </c>
      <c r="AI4" s="1053">
        <v>5</v>
      </c>
      <c r="AJ4" s="1053">
        <v>4.25</v>
      </c>
      <c r="AK4" s="1053">
        <v>5</v>
      </c>
      <c r="AL4" s="1053">
        <v>3.5</v>
      </c>
      <c r="AM4" s="1053">
        <v>3</v>
      </c>
      <c r="AN4" s="1053">
        <v>1.5</v>
      </c>
      <c r="AO4" s="1055">
        <v>13474</v>
      </c>
      <c r="AP4" s="1056">
        <v>6.171956367499278</v>
      </c>
      <c r="AQ4" s="1057">
        <v>131.33</v>
      </c>
      <c r="AR4" s="1058">
        <v>11249.5</v>
      </c>
    </row>
    <row r="5" spans="1:44" ht="20.25">
      <c r="A5" s="1050" t="s">
        <v>102</v>
      </c>
      <c r="B5" s="1051">
        <v>6.3400592850012245</v>
      </c>
      <c r="C5" s="1052">
        <v>7.091066282420749</v>
      </c>
      <c r="D5" s="1052">
        <v>5.5890522875816995</v>
      </c>
      <c r="E5" s="1053">
        <v>347</v>
      </c>
      <c r="F5" s="1053">
        <v>1224</v>
      </c>
      <c r="G5" s="1053">
        <v>55</v>
      </c>
      <c r="H5" s="1053">
        <v>57</v>
      </c>
      <c r="I5" s="1053">
        <v>54</v>
      </c>
      <c r="J5" s="1053">
        <v>4</v>
      </c>
      <c r="K5" s="1053">
        <v>20</v>
      </c>
      <c r="L5" s="1053">
        <v>8</v>
      </c>
      <c r="M5" s="1053">
        <v>134</v>
      </c>
      <c r="N5" s="1053">
        <v>28</v>
      </c>
      <c r="O5" s="1053">
        <v>204</v>
      </c>
      <c r="P5" s="1053">
        <v>0</v>
      </c>
      <c r="Q5" s="1053">
        <v>271</v>
      </c>
      <c r="R5" s="1053">
        <v>667</v>
      </c>
      <c r="S5" s="1053">
        <v>14</v>
      </c>
      <c r="T5" s="1053">
        <v>27</v>
      </c>
      <c r="U5" s="1053">
        <v>0</v>
      </c>
      <c r="V5" s="1053">
        <v>0</v>
      </c>
      <c r="W5" s="1053">
        <v>230</v>
      </c>
      <c r="X5" s="1053">
        <v>6.75</v>
      </c>
      <c r="Y5" s="1053">
        <v>9.05</v>
      </c>
      <c r="Z5" s="1053">
        <v>7.5</v>
      </c>
      <c r="AA5" s="1053">
        <v>7.25</v>
      </c>
      <c r="AB5" s="1053">
        <v>7.75</v>
      </c>
      <c r="AC5" s="1053">
        <v>10</v>
      </c>
      <c r="AD5" s="1053">
        <v>6.75</v>
      </c>
      <c r="AE5" s="1053">
        <v>9</v>
      </c>
      <c r="AF5" s="1053">
        <v>6</v>
      </c>
      <c r="AG5" s="1053">
        <v>2</v>
      </c>
      <c r="AH5" s="1053">
        <v>5.5</v>
      </c>
      <c r="AI5" s="1053">
        <v>5</v>
      </c>
      <c r="AJ5" s="1053">
        <v>4.25</v>
      </c>
      <c r="AK5" s="1053">
        <v>5</v>
      </c>
      <c r="AL5" s="1053">
        <v>3.5</v>
      </c>
      <c r="AM5" s="1053">
        <v>3</v>
      </c>
      <c r="AN5" s="1053">
        <v>1.5</v>
      </c>
      <c r="AO5" s="1055">
        <v>1571</v>
      </c>
      <c r="AP5" s="1056">
        <v>6.271163250362585</v>
      </c>
      <c r="AQ5" s="1057">
        <v>131.33</v>
      </c>
      <c r="AR5" s="1058">
        <v>1332.6</v>
      </c>
    </row>
    <row r="6" spans="1:44" ht="23.25" customHeight="1">
      <c r="A6" s="1059" t="s">
        <v>103</v>
      </c>
      <c r="B6" s="1051">
        <v>7.402406832298137</v>
      </c>
      <c r="C6" s="1052">
        <v>8.91195652173913</v>
      </c>
      <c r="D6" s="1052">
        <v>5.892857142857143</v>
      </c>
      <c r="E6" s="1053">
        <v>46</v>
      </c>
      <c r="F6" s="1053">
        <v>28</v>
      </c>
      <c r="G6" s="1053">
        <v>15</v>
      </c>
      <c r="H6" s="1053">
        <v>9</v>
      </c>
      <c r="I6" s="1053">
        <v>11</v>
      </c>
      <c r="J6" s="1053">
        <v>0</v>
      </c>
      <c r="K6" s="1053">
        <v>3</v>
      </c>
      <c r="L6" s="1053">
        <v>0</v>
      </c>
      <c r="M6" s="1053">
        <v>18</v>
      </c>
      <c r="N6" s="1053">
        <v>0</v>
      </c>
      <c r="O6" s="1053">
        <v>0</v>
      </c>
      <c r="P6" s="1053">
        <v>0</v>
      </c>
      <c r="Q6" s="1053">
        <v>0</v>
      </c>
      <c r="R6" s="1053">
        <v>33</v>
      </c>
      <c r="S6" s="1053">
        <v>0</v>
      </c>
      <c r="T6" s="1053">
        <v>0</v>
      </c>
      <c r="U6" s="1053">
        <v>0</v>
      </c>
      <c r="V6" s="1053">
        <v>0</v>
      </c>
      <c r="W6" s="1053">
        <v>0</v>
      </c>
      <c r="X6" s="1053">
        <v>6.75</v>
      </c>
      <c r="Y6" s="1053">
        <v>9.05</v>
      </c>
      <c r="Z6" s="1053">
        <v>7.5</v>
      </c>
      <c r="AA6" s="1053">
        <v>7.25</v>
      </c>
      <c r="AB6" s="1053">
        <v>7.75</v>
      </c>
      <c r="AC6" s="1053">
        <v>10</v>
      </c>
      <c r="AD6" s="1053">
        <v>6.75</v>
      </c>
      <c r="AE6" s="1053">
        <v>9</v>
      </c>
      <c r="AF6" s="1053">
        <v>6</v>
      </c>
      <c r="AG6" s="1053">
        <v>2</v>
      </c>
      <c r="AH6" s="1053">
        <v>5.5</v>
      </c>
      <c r="AI6" s="1053">
        <v>5</v>
      </c>
      <c r="AJ6" s="1053">
        <v>4.25</v>
      </c>
      <c r="AK6" s="1053">
        <v>5</v>
      </c>
      <c r="AL6" s="1053">
        <v>3.5</v>
      </c>
      <c r="AM6" s="1053">
        <v>3</v>
      </c>
      <c r="AN6" s="1053">
        <v>1.5</v>
      </c>
      <c r="AO6" s="1055">
        <v>74</v>
      </c>
      <c r="AP6" s="1056">
        <v>6.091847826086957</v>
      </c>
      <c r="AQ6" s="1057">
        <v>131.33</v>
      </c>
      <c r="AR6" s="1058">
        <v>61</v>
      </c>
    </row>
    <row r="7" spans="1:44" ht="17.25" customHeight="1">
      <c r="A7" s="1059" t="s">
        <v>104</v>
      </c>
      <c r="B7" s="1051">
        <v>21.375</v>
      </c>
      <c r="C7" s="1052">
        <v>27.75</v>
      </c>
      <c r="D7" s="1052">
        <v>15</v>
      </c>
      <c r="E7" s="1053">
        <v>1</v>
      </c>
      <c r="F7" s="1053">
        <v>1</v>
      </c>
      <c r="G7" s="1053">
        <v>2</v>
      </c>
      <c r="H7" s="1053">
        <v>0</v>
      </c>
      <c r="I7" s="1053">
        <v>1</v>
      </c>
      <c r="J7" s="1053">
        <v>0</v>
      </c>
      <c r="K7" s="1053">
        <v>0</v>
      </c>
      <c r="L7" s="1053">
        <v>0</v>
      </c>
      <c r="M7" s="1053">
        <v>1</v>
      </c>
      <c r="N7" s="1053">
        <v>0</v>
      </c>
      <c r="O7" s="1053">
        <v>0</v>
      </c>
      <c r="P7" s="1053">
        <v>0</v>
      </c>
      <c r="Q7" s="1053">
        <v>0</v>
      </c>
      <c r="R7" s="1053">
        <v>3</v>
      </c>
      <c r="S7" s="1053">
        <v>0</v>
      </c>
      <c r="T7" s="1053">
        <v>0</v>
      </c>
      <c r="U7" s="1053">
        <v>0</v>
      </c>
      <c r="V7" s="1053">
        <v>0</v>
      </c>
      <c r="W7" s="1053">
        <v>0</v>
      </c>
      <c r="X7" s="1053">
        <v>6.75</v>
      </c>
      <c r="Y7" s="1053">
        <v>9.05</v>
      </c>
      <c r="Z7" s="1053">
        <v>7.5</v>
      </c>
      <c r="AA7" s="1053">
        <v>7.25</v>
      </c>
      <c r="AB7" s="1053">
        <v>7.75</v>
      </c>
      <c r="AC7" s="1053">
        <v>10</v>
      </c>
      <c r="AD7" s="1053">
        <v>6.75</v>
      </c>
      <c r="AE7" s="1053">
        <v>9</v>
      </c>
      <c r="AF7" s="1053">
        <v>6</v>
      </c>
      <c r="AG7" s="1053">
        <v>2</v>
      </c>
      <c r="AH7" s="1053">
        <v>5.5</v>
      </c>
      <c r="AI7" s="1053">
        <v>5</v>
      </c>
      <c r="AJ7" s="1053">
        <v>4.25</v>
      </c>
      <c r="AK7" s="1053">
        <v>5</v>
      </c>
      <c r="AL7" s="1053">
        <v>3.5</v>
      </c>
      <c r="AM7" s="1053">
        <v>3</v>
      </c>
      <c r="AN7" s="1053">
        <v>1.5</v>
      </c>
      <c r="AO7" s="1055">
        <v>2</v>
      </c>
      <c r="AP7" s="1056">
        <v>5.875</v>
      </c>
      <c r="AQ7" s="1057">
        <v>131.33</v>
      </c>
      <c r="AR7" s="1058">
        <v>1.6</v>
      </c>
    </row>
    <row r="8" spans="1:44" ht="30.75" customHeight="1">
      <c r="A8" s="1059" t="s">
        <v>105</v>
      </c>
      <c r="B8" s="1051">
        <v>11.575</v>
      </c>
      <c r="C8" s="1052">
        <v>17.15</v>
      </c>
      <c r="D8" s="1052">
        <v>6</v>
      </c>
      <c r="E8" s="1053">
        <v>5</v>
      </c>
      <c r="F8" s="1053">
        <v>5</v>
      </c>
      <c r="G8" s="1053">
        <v>5</v>
      </c>
      <c r="H8" s="1053">
        <v>0</v>
      </c>
      <c r="I8" s="1053">
        <v>5</v>
      </c>
      <c r="J8" s="1053">
        <v>0</v>
      </c>
      <c r="K8" s="1053">
        <v>1</v>
      </c>
      <c r="L8" s="1053">
        <v>0</v>
      </c>
      <c r="M8" s="1053">
        <v>1</v>
      </c>
      <c r="N8" s="1053">
        <v>0</v>
      </c>
      <c r="O8" s="1053">
        <v>0</v>
      </c>
      <c r="P8" s="1053">
        <v>0</v>
      </c>
      <c r="Q8" s="1053">
        <v>0</v>
      </c>
      <c r="R8" s="1053">
        <v>6</v>
      </c>
      <c r="S8" s="1053">
        <v>0</v>
      </c>
      <c r="T8" s="1053">
        <v>0</v>
      </c>
      <c r="U8" s="1053">
        <v>0</v>
      </c>
      <c r="V8" s="1053">
        <v>0</v>
      </c>
      <c r="W8" s="1053">
        <v>0</v>
      </c>
      <c r="X8" s="1053">
        <v>6.75</v>
      </c>
      <c r="Y8" s="1053">
        <v>9.05</v>
      </c>
      <c r="Z8" s="1053">
        <v>7.5</v>
      </c>
      <c r="AA8" s="1053">
        <v>7.25</v>
      </c>
      <c r="AB8" s="1053">
        <v>7.75</v>
      </c>
      <c r="AC8" s="1053">
        <v>10</v>
      </c>
      <c r="AD8" s="1053">
        <v>6.75</v>
      </c>
      <c r="AE8" s="1053">
        <v>9</v>
      </c>
      <c r="AF8" s="1053">
        <v>6</v>
      </c>
      <c r="AG8" s="1053">
        <v>2</v>
      </c>
      <c r="AH8" s="1053">
        <v>5.5</v>
      </c>
      <c r="AI8" s="1053">
        <v>5</v>
      </c>
      <c r="AJ8" s="1053">
        <v>4.25</v>
      </c>
      <c r="AK8" s="1053">
        <v>5</v>
      </c>
      <c r="AL8" s="1053">
        <v>3.5</v>
      </c>
      <c r="AM8" s="1053">
        <v>3</v>
      </c>
      <c r="AN8" s="1053">
        <v>1.5</v>
      </c>
      <c r="AO8" s="1055">
        <v>10</v>
      </c>
      <c r="AP8" s="1056">
        <v>5.875</v>
      </c>
      <c r="AQ8" s="1057">
        <v>131.33</v>
      </c>
      <c r="AR8" s="1058">
        <v>7.9</v>
      </c>
    </row>
    <row r="9" spans="1:44" ht="28.5" customHeight="1">
      <c r="A9" s="1059" t="s">
        <v>106</v>
      </c>
      <c r="B9" s="1051">
        <v>6.867156862745098</v>
      </c>
      <c r="C9" s="1052">
        <v>9.56764705882353</v>
      </c>
      <c r="D9" s="1052">
        <v>4.166666666666667</v>
      </c>
      <c r="E9" s="1053">
        <v>17</v>
      </c>
      <c r="F9" s="1053">
        <v>12</v>
      </c>
      <c r="G9" s="1053">
        <v>5</v>
      </c>
      <c r="H9" s="1053">
        <v>3</v>
      </c>
      <c r="I9" s="1053">
        <v>7</v>
      </c>
      <c r="J9" s="1053">
        <v>0</v>
      </c>
      <c r="K9" s="1053">
        <v>2</v>
      </c>
      <c r="L9" s="1053">
        <v>0</v>
      </c>
      <c r="M9" s="1053">
        <v>5</v>
      </c>
      <c r="N9" s="1053">
        <v>0</v>
      </c>
      <c r="O9" s="1053">
        <v>0</v>
      </c>
      <c r="P9" s="1053">
        <v>0</v>
      </c>
      <c r="Q9" s="1053">
        <v>0</v>
      </c>
      <c r="R9" s="1053">
        <v>10</v>
      </c>
      <c r="S9" s="1053">
        <v>0</v>
      </c>
      <c r="T9" s="1053">
        <v>0</v>
      </c>
      <c r="U9" s="1053">
        <v>0</v>
      </c>
      <c r="V9" s="1053">
        <v>0</v>
      </c>
      <c r="W9" s="1053">
        <v>0</v>
      </c>
      <c r="X9" s="1053">
        <v>6.75</v>
      </c>
      <c r="Y9" s="1053">
        <v>9.05</v>
      </c>
      <c r="Z9" s="1053">
        <v>7.5</v>
      </c>
      <c r="AA9" s="1053">
        <v>7.25</v>
      </c>
      <c r="AB9" s="1053">
        <v>7.75</v>
      </c>
      <c r="AC9" s="1053">
        <v>10</v>
      </c>
      <c r="AD9" s="1053">
        <v>6.75</v>
      </c>
      <c r="AE9" s="1053">
        <v>9</v>
      </c>
      <c r="AF9" s="1053">
        <v>6</v>
      </c>
      <c r="AG9" s="1053">
        <v>2</v>
      </c>
      <c r="AH9" s="1053">
        <v>5.5</v>
      </c>
      <c r="AI9" s="1053">
        <v>5</v>
      </c>
      <c r="AJ9" s="1053">
        <v>4.25</v>
      </c>
      <c r="AK9" s="1053">
        <v>5</v>
      </c>
      <c r="AL9" s="1053">
        <v>3.5</v>
      </c>
      <c r="AM9" s="1053">
        <v>3</v>
      </c>
      <c r="AN9" s="1053">
        <v>1.5</v>
      </c>
      <c r="AO9" s="1055">
        <v>29</v>
      </c>
      <c r="AP9" s="1056">
        <v>6</v>
      </c>
      <c r="AQ9" s="1057">
        <v>131.33</v>
      </c>
      <c r="AR9" s="1058">
        <v>23.5</v>
      </c>
    </row>
    <row r="10" spans="1:44" ht="28.5" customHeight="1">
      <c r="A10" s="1059" t="s">
        <v>107</v>
      </c>
      <c r="B10" s="1051">
        <v>6.678125</v>
      </c>
      <c r="C10" s="1052">
        <v>8.35625</v>
      </c>
      <c r="D10" s="1052">
        <v>5</v>
      </c>
      <c r="E10" s="1053">
        <v>8</v>
      </c>
      <c r="F10" s="1053">
        <v>5</v>
      </c>
      <c r="G10" s="1053">
        <v>0</v>
      </c>
      <c r="H10" s="1053">
        <v>2</v>
      </c>
      <c r="I10" s="1053">
        <v>2</v>
      </c>
      <c r="J10" s="1053">
        <v>0</v>
      </c>
      <c r="K10" s="1053">
        <v>0</v>
      </c>
      <c r="L10" s="1053">
        <v>0</v>
      </c>
      <c r="M10" s="1053">
        <v>5</v>
      </c>
      <c r="N10" s="1053">
        <v>0</v>
      </c>
      <c r="O10" s="1053">
        <v>0</v>
      </c>
      <c r="P10" s="1053">
        <v>0</v>
      </c>
      <c r="Q10" s="1053">
        <v>0</v>
      </c>
      <c r="R10" s="1053">
        <v>5</v>
      </c>
      <c r="S10" s="1053">
        <v>0</v>
      </c>
      <c r="T10" s="1053">
        <v>0</v>
      </c>
      <c r="U10" s="1053">
        <v>0</v>
      </c>
      <c r="V10" s="1053">
        <v>0</v>
      </c>
      <c r="W10" s="1053">
        <v>0</v>
      </c>
      <c r="X10" s="1053">
        <v>6.75</v>
      </c>
      <c r="Y10" s="1053">
        <v>9.05</v>
      </c>
      <c r="Z10" s="1053">
        <v>7.5</v>
      </c>
      <c r="AA10" s="1053">
        <v>7.25</v>
      </c>
      <c r="AB10" s="1053">
        <v>7.75</v>
      </c>
      <c r="AC10" s="1053">
        <v>10</v>
      </c>
      <c r="AD10" s="1053">
        <v>6.75</v>
      </c>
      <c r="AE10" s="1053">
        <v>9</v>
      </c>
      <c r="AF10" s="1053">
        <v>6</v>
      </c>
      <c r="AG10" s="1053">
        <v>2</v>
      </c>
      <c r="AH10" s="1053">
        <v>5.5</v>
      </c>
      <c r="AI10" s="1053">
        <v>5</v>
      </c>
      <c r="AJ10" s="1053">
        <v>4.25</v>
      </c>
      <c r="AK10" s="1053">
        <v>5</v>
      </c>
      <c r="AL10" s="1053">
        <v>3.5</v>
      </c>
      <c r="AM10" s="1053">
        <v>3</v>
      </c>
      <c r="AN10" s="1053">
        <v>1.5</v>
      </c>
      <c r="AO10" s="1055">
        <v>13</v>
      </c>
      <c r="AP10" s="1056">
        <v>6.1125</v>
      </c>
      <c r="AQ10" s="1057">
        <v>131.33</v>
      </c>
      <c r="AR10" s="1058">
        <v>10.7</v>
      </c>
    </row>
    <row r="11" spans="1:44" ht="25.5" customHeight="1">
      <c r="A11" s="1059" t="s">
        <v>108</v>
      </c>
      <c r="B11" s="1051">
        <v>6.848039215686274</v>
      </c>
      <c r="C11" s="1052">
        <v>8.279411764705882</v>
      </c>
      <c r="D11" s="1052">
        <v>5.416666666666667</v>
      </c>
      <c r="E11" s="1053">
        <v>17</v>
      </c>
      <c r="F11" s="1053">
        <v>12</v>
      </c>
      <c r="G11" s="1053">
        <v>6</v>
      </c>
      <c r="H11" s="1053">
        <v>5</v>
      </c>
      <c r="I11" s="1053">
        <v>0</v>
      </c>
      <c r="J11" s="1053">
        <v>0</v>
      </c>
      <c r="K11" s="1053">
        <v>1</v>
      </c>
      <c r="L11" s="1053">
        <v>0</v>
      </c>
      <c r="M11" s="1053">
        <v>7</v>
      </c>
      <c r="N11" s="1053">
        <v>0</v>
      </c>
      <c r="O11" s="1053">
        <v>0</v>
      </c>
      <c r="P11" s="1053">
        <v>0</v>
      </c>
      <c r="Q11" s="1053">
        <v>0</v>
      </c>
      <c r="R11" s="1053">
        <v>13</v>
      </c>
      <c r="S11" s="1053">
        <v>0</v>
      </c>
      <c r="T11" s="1053">
        <v>0</v>
      </c>
      <c r="U11" s="1053">
        <v>0</v>
      </c>
      <c r="V11" s="1053">
        <v>0</v>
      </c>
      <c r="W11" s="1053">
        <v>0</v>
      </c>
      <c r="X11" s="1053">
        <v>6.75</v>
      </c>
      <c r="Y11" s="1053">
        <v>9.05</v>
      </c>
      <c r="Z11" s="1053">
        <v>7.5</v>
      </c>
      <c r="AA11" s="1053">
        <v>7.25</v>
      </c>
      <c r="AB11" s="1053">
        <v>7.75</v>
      </c>
      <c r="AC11" s="1053">
        <v>10</v>
      </c>
      <c r="AD11" s="1053">
        <v>6.75</v>
      </c>
      <c r="AE11" s="1053">
        <v>9</v>
      </c>
      <c r="AF11" s="1053">
        <v>6</v>
      </c>
      <c r="AG11" s="1053">
        <v>2</v>
      </c>
      <c r="AH11" s="1053">
        <v>5.5</v>
      </c>
      <c r="AI11" s="1053">
        <v>5</v>
      </c>
      <c r="AJ11" s="1053">
        <v>4.25</v>
      </c>
      <c r="AK11" s="1053">
        <v>5</v>
      </c>
      <c r="AL11" s="1053">
        <v>3.5</v>
      </c>
      <c r="AM11" s="1053">
        <v>3</v>
      </c>
      <c r="AN11" s="1053">
        <v>1.5</v>
      </c>
      <c r="AO11" s="1055">
        <v>29</v>
      </c>
      <c r="AP11" s="1056">
        <v>6.083823529411765</v>
      </c>
      <c r="AQ11" s="1057">
        <v>131.33</v>
      </c>
      <c r="AR11" s="1058">
        <v>23.9</v>
      </c>
    </row>
    <row r="12" spans="1:44" ht="33" customHeight="1">
      <c r="A12" s="1059" t="s">
        <v>109</v>
      </c>
      <c r="B12" s="1051">
        <v>6.963888888888889</v>
      </c>
      <c r="C12" s="1052">
        <v>8.094444444444443</v>
      </c>
      <c r="D12" s="1052">
        <v>5.833333333333333</v>
      </c>
      <c r="E12" s="1053">
        <v>9</v>
      </c>
      <c r="F12" s="1053">
        <v>6</v>
      </c>
      <c r="G12" s="1053">
        <v>0</v>
      </c>
      <c r="H12" s="1053">
        <v>2</v>
      </c>
      <c r="I12" s="1053">
        <v>1</v>
      </c>
      <c r="J12" s="1053">
        <v>0</v>
      </c>
      <c r="K12" s="1053">
        <v>0</v>
      </c>
      <c r="L12" s="1053">
        <v>0</v>
      </c>
      <c r="M12" s="1053">
        <v>7</v>
      </c>
      <c r="N12" s="1053">
        <v>0</v>
      </c>
      <c r="O12" s="1053">
        <v>0</v>
      </c>
      <c r="P12" s="1053">
        <v>0</v>
      </c>
      <c r="Q12" s="1053">
        <v>0</v>
      </c>
      <c r="R12" s="1053">
        <v>7</v>
      </c>
      <c r="S12" s="1053">
        <v>0</v>
      </c>
      <c r="T12" s="1053">
        <v>0</v>
      </c>
      <c r="U12" s="1053">
        <v>0</v>
      </c>
      <c r="V12" s="1053">
        <v>0</v>
      </c>
      <c r="W12" s="1053">
        <v>0</v>
      </c>
      <c r="X12" s="1053">
        <v>6.75</v>
      </c>
      <c r="Y12" s="1053">
        <v>9.05</v>
      </c>
      <c r="Z12" s="1053">
        <v>7.5</v>
      </c>
      <c r="AA12" s="1053">
        <v>7.25</v>
      </c>
      <c r="AB12" s="1053">
        <v>7.75</v>
      </c>
      <c r="AC12" s="1053">
        <v>10</v>
      </c>
      <c r="AD12" s="1053">
        <v>6.75</v>
      </c>
      <c r="AE12" s="1053">
        <v>9</v>
      </c>
      <c r="AF12" s="1053">
        <v>6</v>
      </c>
      <c r="AG12" s="1053">
        <v>2</v>
      </c>
      <c r="AH12" s="1053">
        <v>5.5</v>
      </c>
      <c r="AI12" s="1053">
        <v>5</v>
      </c>
      <c r="AJ12" s="1053">
        <v>4.25</v>
      </c>
      <c r="AK12" s="1053">
        <v>5</v>
      </c>
      <c r="AL12" s="1053">
        <v>3.5</v>
      </c>
      <c r="AM12" s="1053">
        <v>3</v>
      </c>
      <c r="AN12" s="1053">
        <v>1.5</v>
      </c>
      <c r="AO12" s="1055">
        <v>15</v>
      </c>
      <c r="AP12" s="1056">
        <v>6.186111111111111</v>
      </c>
      <c r="AQ12" s="1057">
        <v>131.33</v>
      </c>
      <c r="AR12" s="1058">
        <v>12.6</v>
      </c>
    </row>
    <row r="13" spans="1:44" ht="25.5" customHeight="1">
      <c r="A13" s="1059" t="s">
        <v>110</v>
      </c>
      <c r="B13" s="1051">
        <v>2.9375</v>
      </c>
      <c r="C13" s="1052">
        <v>3.375</v>
      </c>
      <c r="D13" s="1052">
        <v>2.5</v>
      </c>
      <c r="E13" s="1053">
        <v>2</v>
      </c>
      <c r="F13" s="1053">
        <v>2</v>
      </c>
      <c r="G13" s="1053">
        <v>0</v>
      </c>
      <c r="H13" s="1053">
        <v>0</v>
      </c>
      <c r="I13" s="1053">
        <v>0</v>
      </c>
      <c r="J13" s="1053">
        <v>0</v>
      </c>
      <c r="K13" s="1053">
        <v>0</v>
      </c>
      <c r="L13" s="1053">
        <v>0</v>
      </c>
      <c r="M13" s="1053">
        <v>1</v>
      </c>
      <c r="N13" s="1053">
        <v>0</v>
      </c>
      <c r="O13" s="1053">
        <v>0</v>
      </c>
      <c r="P13" s="1053">
        <v>0</v>
      </c>
      <c r="Q13" s="1053">
        <v>0</v>
      </c>
      <c r="R13" s="1053">
        <v>1</v>
      </c>
      <c r="S13" s="1053">
        <v>0</v>
      </c>
      <c r="T13" s="1053">
        <v>0</v>
      </c>
      <c r="U13" s="1053">
        <v>0</v>
      </c>
      <c r="V13" s="1053">
        <v>0</v>
      </c>
      <c r="W13" s="1053">
        <v>0</v>
      </c>
      <c r="X13" s="1053">
        <v>6.75</v>
      </c>
      <c r="Y13" s="1053">
        <v>9.05</v>
      </c>
      <c r="Z13" s="1053">
        <v>7.5</v>
      </c>
      <c r="AA13" s="1053">
        <v>7.25</v>
      </c>
      <c r="AB13" s="1053">
        <v>7.75</v>
      </c>
      <c r="AC13" s="1053">
        <v>10</v>
      </c>
      <c r="AD13" s="1053">
        <v>6.75</v>
      </c>
      <c r="AE13" s="1053">
        <v>9</v>
      </c>
      <c r="AF13" s="1053">
        <v>6</v>
      </c>
      <c r="AG13" s="1053">
        <v>2</v>
      </c>
      <c r="AH13" s="1053">
        <v>5.5</v>
      </c>
      <c r="AI13" s="1053">
        <v>5</v>
      </c>
      <c r="AJ13" s="1053">
        <v>4.25</v>
      </c>
      <c r="AK13" s="1053">
        <v>5</v>
      </c>
      <c r="AL13" s="1053">
        <v>3.5</v>
      </c>
      <c r="AM13" s="1053">
        <v>3</v>
      </c>
      <c r="AN13" s="1053">
        <v>1.5</v>
      </c>
      <c r="AO13" s="1055">
        <v>4</v>
      </c>
      <c r="AP13" s="1056">
        <v>5.875</v>
      </c>
      <c r="AQ13" s="1057">
        <v>131.33</v>
      </c>
      <c r="AR13" s="1058">
        <v>3.2</v>
      </c>
    </row>
    <row r="14" spans="1:44" ht="49.5" customHeight="1">
      <c r="A14" s="1060" t="s">
        <v>484</v>
      </c>
      <c r="B14" s="1051">
        <v>7.4945703825039125</v>
      </c>
      <c r="C14" s="1052">
        <v>8.278923766816144</v>
      </c>
      <c r="D14" s="1052">
        <v>6.710216998191682</v>
      </c>
      <c r="E14" s="1053">
        <v>223</v>
      </c>
      <c r="F14" s="1053">
        <v>553</v>
      </c>
      <c r="G14" s="1053">
        <v>58</v>
      </c>
      <c r="H14" s="1053">
        <v>49</v>
      </c>
      <c r="I14" s="1053">
        <v>35</v>
      </c>
      <c r="J14" s="1053">
        <v>1</v>
      </c>
      <c r="K14" s="1053">
        <v>17</v>
      </c>
      <c r="L14" s="1053">
        <v>9</v>
      </c>
      <c r="M14" s="1053">
        <v>77</v>
      </c>
      <c r="N14" s="1053">
        <v>42</v>
      </c>
      <c r="O14" s="1053">
        <v>35</v>
      </c>
      <c r="P14" s="1053">
        <v>0</v>
      </c>
      <c r="Q14" s="1053">
        <v>153</v>
      </c>
      <c r="R14" s="1053">
        <v>386</v>
      </c>
      <c r="S14" s="1053">
        <v>21</v>
      </c>
      <c r="T14" s="1053">
        <v>23</v>
      </c>
      <c r="U14" s="1053">
        <v>0</v>
      </c>
      <c r="V14" s="1053">
        <v>0</v>
      </c>
      <c r="W14" s="1053">
        <v>98</v>
      </c>
      <c r="X14" s="1053">
        <v>6.75</v>
      </c>
      <c r="Y14" s="1053">
        <v>9.05</v>
      </c>
      <c r="Z14" s="1053">
        <v>7.5</v>
      </c>
      <c r="AA14" s="1053">
        <v>7.25</v>
      </c>
      <c r="AB14" s="1053">
        <v>7.75</v>
      </c>
      <c r="AC14" s="1053">
        <v>10</v>
      </c>
      <c r="AD14" s="1053">
        <v>6.75</v>
      </c>
      <c r="AE14" s="1053">
        <v>9</v>
      </c>
      <c r="AF14" s="1053">
        <v>6</v>
      </c>
      <c r="AG14" s="1053">
        <v>2</v>
      </c>
      <c r="AH14" s="1053">
        <v>5.5</v>
      </c>
      <c r="AI14" s="1053">
        <v>5</v>
      </c>
      <c r="AJ14" s="1053">
        <v>4.25</v>
      </c>
      <c r="AK14" s="1053">
        <v>5</v>
      </c>
      <c r="AL14" s="1053">
        <v>3.5</v>
      </c>
      <c r="AM14" s="1053">
        <v>3</v>
      </c>
      <c r="AN14" s="1053">
        <v>1.5</v>
      </c>
      <c r="AO14" s="1055">
        <v>776</v>
      </c>
      <c r="AP14" s="1056">
        <v>6.053630624640161</v>
      </c>
      <c r="AQ14" s="1057">
        <v>131.33</v>
      </c>
      <c r="AR14" s="1058">
        <v>635.4</v>
      </c>
    </row>
    <row r="15" spans="1:44" ht="36" customHeight="1">
      <c r="A15" s="1060" t="s">
        <v>111</v>
      </c>
      <c r="B15" s="1051">
        <v>7.454307036247335</v>
      </c>
      <c r="C15" s="1052">
        <v>7.9843283582089555</v>
      </c>
      <c r="D15" s="1052">
        <v>6.924285714285714</v>
      </c>
      <c r="E15" s="1053">
        <v>134</v>
      </c>
      <c r="F15" s="1053">
        <v>350</v>
      </c>
      <c r="G15" s="1053">
        <v>45</v>
      </c>
      <c r="H15" s="1053">
        <v>23</v>
      </c>
      <c r="I15" s="1053">
        <v>8</v>
      </c>
      <c r="J15" s="1053">
        <v>3</v>
      </c>
      <c r="K15" s="1053">
        <v>14</v>
      </c>
      <c r="L15" s="1053">
        <v>1</v>
      </c>
      <c r="M15" s="1053">
        <v>53</v>
      </c>
      <c r="N15" s="1053">
        <v>12</v>
      </c>
      <c r="O15" s="1053">
        <v>18</v>
      </c>
      <c r="P15" s="1053">
        <v>0</v>
      </c>
      <c r="Q15" s="1053">
        <v>119</v>
      </c>
      <c r="R15" s="1053">
        <v>289</v>
      </c>
      <c r="S15" s="1053">
        <v>0</v>
      </c>
      <c r="T15" s="1053">
        <v>3</v>
      </c>
      <c r="U15" s="1053">
        <v>0</v>
      </c>
      <c r="V15" s="1053">
        <v>0</v>
      </c>
      <c r="W15" s="1053">
        <v>62</v>
      </c>
      <c r="X15" s="1053">
        <v>6.75</v>
      </c>
      <c r="Y15" s="1053">
        <v>9.05</v>
      </c>
      <c r="Z15" s="1053">
        <v>7.5</v>
      </c>
      <c r="AA15" s="1053">
        <v>7.25</v>
      </c>
      <c r="AB15" s="1053">
        <v>7.75</v>
      </c>
      <c r="AC15" s="1053">
        <v>10</v>
      </c>
      <c r="AD15" s="1053">
        <v>6.75</v>
      </c>
      <c r="AE15" s="1053">
        <v>9</v>
      </c>
      <c r="AF15" s="1053">
        <v>6</v>
      </c>
      <c r="AG15" s="1053">
        <v>2</v>
      </c>
      <c r="AH15" s="1053">
        <v>5.5</v>
      </c>
      <c r="AI15" s="1053">
        <v>5</v>
      </c>
      <c r="AJ15" s="1053">
        <v>4.25</v>
      </c>
      <c r="AK15" s="1053">
        <v>5</v>
      </c>
      <c r="AL15" s="1053">
        <v>3.5</v>
      </c>
      <c r="AM15" s="1053">
        <v>3</v>
      </c>
      <c r="AN15" s="1053">
        <v>1.5</v>
      </c>
      <c r="AO15" s="1055">
        <v>484</v>
      </c>
      <c r="AP15" s="1056">
        <v>6.271236673773988</v>
      </c>
      <c r="AQ15" s="1057">
        <v>131.33</v>
      </c>
      <c r="AR15" s="1058">
        <v>410.6</v>
      </c>
    </row>
    <row r="16" spans="1:44" ht="40.5">
      <c r="A16" s="1061" t="s">
        <v>485</v>
      </c>
      <c r="B16" s="1051">
        <v>6.869207430422774</v>
      </c>
      <c r="C16" s="1052">
        <v>8.628472222222221</v>
      </c>
      <c r="D16" s="1052">
        <v>5.109942638623327</v>
      </c>
      <c r="E16" s="1053">
        <v>144</v>
      </c>
      <c r="F16" s="1053">
        <v>523</v>
      </c>
      <c r="G16" s="1053">
        <v>32</v>
      </c>
      <c r="H16" s="1053">
        <v>25</v>
      </c>
      <c r="I16" s="1053">
        <v>23</v>
      </c>
      <c r="J16" s="1053">
        <v>0</v>
      </c>
      <c r="K16" s="1053">
        <v>14</v>
      </c>
      <c r="L16" s="1053">
        <v>4</v>
      </c>
      <c r="M16" s="1053">
        <v>71</v>
      </c>
      <c r="N16" s="1053">
        <v>23</v>
      </c>
      <c r="O16" s="1053">
        <v>31</v>
      </c>
      <c r="P16" s="1053">
        <v>0</v>
      </c>
      <c r="Q16" s="1053">
        <v>118</v>
      </c>
      <c r="R16" s="1053">
        <v>280</v>
      </c>
      <c r="S16" s="1053">
        <v>20</v>
      </c>
      <c r="T16" s="1053">
        <v>12</v>
      </c>
      <c r="U16" s="1053">
        <v>0</v>
      </c>
      <c r="V16" s="1053">
        <v>0</v>
      </c>
      <c r="W16" s="1053">
        <v>57</v>
      </c>
      <c r="X16" s="1053">
        <v>6.75</v>
      </c>
      <c r="Y16" s="1053">
        <v>9.05</v>
      </c>
      <c r="Z16" s="1053">
        <v>7.5</v>
      </c>
      <c r="AA16" s="1053">
        <v>7.25</v>
      </c>
      <c r="AB16" s="1053">
        <v>7.75</v>
      </c>
      <c r="AC16" s="1053">
        <v>10</v>
      </c>
      <c r="AD16" s="1053">
        <v>6.75</v>
      </c>
      <c r="AE16" s="1053">
        <v>9</v>
      </c>
      <c r="AF16" s="1053">
        <v>6</v>
      </c>
      <c r="AG16" s="1053">
        <v>2</v>
      </c>
      <c r="AH16" s="1053">
        <v>5.5</v>
      </c>
      <c r="AI16" s="1053">
        <v>5</v>
      </c>
      <c r="AJ16" s="1053">
        <v>4.25</v>
      </c>
      <c r="AK16" s="1053">
        <v>5</v>
      </c>
      <c r="AL16" s="1053">
        <v>3.5</v>
      </c>
      <c r="AM16" s="1053">
        <v>3</v>
      </c>
      <c r="AN16" s="1053">
        <v>1.5</v>
      </c>
      <c r="AO16" s="1055">
        <v>667</v>
      </c>
      <c r="AP16" s="1056">
        <v>6.140379023263225</v>
      </c>
      <c r="AQ16" s="1057">
        <v>131.33</v>
      </c>
      <c r="AR16" s="1058">
        <v>554</v>
      </c>
    </row>
    <row r="17" spans="1:44" ht="20.25">
      <c r="A17" s="1050" t="s">
        <v>112</v>
      </c>
      <c r="B17" s="1051">
        <v>6.855308533274635</v>
      </c>
      <c r="C17" s="1052">
        <v>7.569491525423729</v>
      </c>
      <c r="D17" s="1052">
        <v>6.141125541125541</v>
      </c>
      <c r="E17" s="1053">
        <v>295</v>
      </c>
      <c r="F17" s="1053">
        <v>1155</v>
      </c>
      <c r="G17" s="1053">
        <v>58</v>
      </c>
      <c r="H17" s="1053">
        <v>50</v>
      </c>
      <c r="I17" s="1053">
        <v>49</v>
      </c>
      <c r="J17" s="1053">
        <v>0</v>
      </c>
      <c r="K17" s="1053">
        <v>20</v>
      </c>
      <c r="L17" s="1053">
        <v>7</v>
      </c>
      <c r="M17" s="1053">
        <v>118</v>
      </c>
      <c r="N17" s="1053">
        <v>58</v>
      </c>
      <c r="O17" s="1053">
        <v>85</v>
      </c>
      <c r="P17" s="1053">
        <v>0</v>
      </c>
      <c r="Q17" s="1053">
        <v>398</v>
      </c>
      <c r="R17" s="1053">
        <v>692</v>
      </c>
      <c r="S17" s="1053">
        <v>22</v>
      </c>
      <c r="T17" s="1053">
        <v>28</v>
      </c>
      <c r="U17" s="1053">
        <v>0</v>
      </c>
      <c r="V17" s="1053">
        <v>0</v>
      </c>
      <c r="W17" s="1053">
        <v>119</v>
      </c>
      <c r="X17" s="1053">
        <v>6.75</v>
      </c>
      <c r="Y17" s="1053">
        <v>9.05</v>
      </c>
      <c r="Z17" s="1053">
        <v>7.5</v>
      </c>
      <c r="AA17" s="1053">
        <v>7.25</v>
      </c>
      <c r="AB17" s="1053">
        <v>7.75</v>
      </c>
      <c r="AC17" s="1053">
        <v>10</v>
      </c>
      <c r="AD17" s="1053">
        <v>6.75</v>
      </c>
      <c r="AE17" s="1053">
        <v>9</v>
      </c>
      <c r="AF17" s="1053">
        <v>6</v>
      </c>
      <c r="AG17" s="1053">
        <v>2</v>
      </c>
      <c r="AH17" s="1053">
        <v>5.5</v>
      </c>
      <c r="AI17" s="1053">
        <v>5</v>
      </c>
      <c r="AJ17" s="1053">
        <v>4.25</v>
      </c>
      <c r="AK17" s="1053">
        <v>5</v>
      </c>
      <c r="AL17" s="1053">
        <v>3.5</v>
      </c>
      <c r="AM17" s="1053">
        <v>3</v>
      </c>
      <c r="AN17" s="1053">
        <v>1.5</v>
      </c>
      <c r="AO17" s="1055">
        <v>1450</v>
      </c>
      <c r="AP17" s="1056">
        <v>6.197049673490351</v>
      </c>
      <c r="AQ17" s="1057">
        <v>131.33</v>
      </c>
      <c r="AR17" s="1058">
        <v>1215.4</v>
      </c>
    </row>
    <row r="18" spans="1:44" ht="20.25">
      <c r="A18" s="1059" t="s">
        <v>113</v>
      </c>
      <c r="B18" s="1051">
        <v>10.150524475524476</v>
      </c>
      <c r="C18" s="1052">
        <v>12.11923076923077</v>
      </c>
      <c r="D18" s="1052">
        <v>8.181818181818182</v>
      </c>
      <c r="E18" s="1053">
        <v>65</v>
      </c>
      <c r="F18" s="1053">
        <v>33</v>
      </c>
      <c r="G18" s="1053">
        <v>32</v>
      </c>
      <c r="H18" s="1053">
        <v>25</v>
      </c>
      <c r="I18" s="1053">
        <v>18</v>
      </c>
      <c r="J18" s="1053">
        <v>0</v>
      </c>
      <c r="K18" s="1053">
        <v>8</v>
      </c>
      <c r="L18" s="1053">
        <v>0</v>
      </c>
      <c r="M18" s="1053">
        <v>22</v>
      </c>
      <c r="N18" s="1053">
        <v>0</v>
      </c>
      <c r="O18" s="1053">
        <v>0</v>
      </c>
      <c r="P18" s="1053">
        <v>0</v>
      </c>
      <c r="Q18" s="1053">
        <v>0</v>
      </c>
      <c r="R18" s="1053">
        <v>54</v>
      </c>
      <c r="S18" s="1053">
        <v>0</v>
      </c>
      <c r="T18" s="1053">
        <v>0</v>
      </c>
      <c r="U18" s="1053">
        <v>0</v>
      </c>
      <c r="V18" s="1053">
        <v>0</v>
      </c>
      <c r="W18" s="1053">
        <v>0</v>
      </c>
      <c r="X18" s="1053">
        <v>6.75</v>
      </c>
      <c r="Y18" s="1053">
        <v>9.05</v>
      </c>
      <c r="Z18" s="1053">
        <v>7.5</v>
      </c>
      <c r="AA18" s="1053">
        <v>7.25</v>
      </c>
      <c r="AB18" s="1053">
        <v>7.75</v>
      </c>
      <c r="AC18" s="1053">
        <v>10</v>
      </c>
      <c r="AD18" s="1053">
        <v>6.75</v>
      </c>
      <c r="AE18" s="1053">
        <v>9</v>
      </c>
      <c r="AF18" s="1053">
        <v>6</v>
      </c>
      <c r="AG18" s="1053">
        <v>2</v>
      </c>
      <c r="AH18" s="1053">
        <v>5.5</v>
      </c>
      <c r="AI18" s="1053">
        <v>5</v>
      </c>
      <c r="AJ18" s="1053">
        <v>4.25</v>
      </c>
      <c r="AK18" s="1053">
        <v>5</v>
      </c>
      <c r="AL18" s="1053">
        <v>3.5</v>
      </c>
      <c r="AM18" s="1053">
        <v>3</v>
      </c>
      <c r="AN18" s="1053">
        <v>1.5</v>
      </c>
      <c r="AO18" s="1055">
        <v>98</v>
      </c>
      <c r="AP18" s="1056">
        <v>6.194230769230769</v>
      </c>
      <c r="AQ18" s="1057">
        <v>131.33</v>
      </c>
      <c r="AR18" s="1058">
        <v>82.1</v>
      </c>
    </row>
    <row r="19" spans="1:44" ht="20.25">
      <c r="A19" s="1059" t="s">
        <v>114</v>
      </c>
      <c r="B19" s="1051">
        <v>4.124188640973631</v>
      </c>
      <c r="C19" s="1052">
        <v>4.718965517241379</v>
      </c>
      <c r="D19" s="1052">
        <v>3.5294117647058822</v>
      </c>
      <c r="E19" s="1053">
        <v>29</v>
      </c>
      <c r="F19" s="1053">
        <v>17</v>
      </c>
      <c r="G19" s="1053">
        <v>7</v>
      </c>
      <c r="H19" s="1053">
        <v>2</v>
      </c>
      <c r="I19" s="1053">
        <v>4</v>
      </c>
      <c r="J19" s="1053">
        <v>0</v>
      </c>
      <c r="K19" s="1053">
        <v>1</v>
      </c>
      <c r="L19" s="1053">
        <v>0</v>
      </c>
      <c r="M19" s="1053">
        <v>5</v>
      </c>
      <c r="N19" s="1053">
        <v>0</v>
      </c>
      <c r="O19" s="1053">
        <v>0</v>
      </c>
      <c r="P19" s="1053">
        <v>0</v>
      </c>
      <c r="Q19" s="1053">
        <v>0</v>
      </c>
      <c r="R19" s="1053">
        <v>12</v>
      </c>
      <c r="S19" s="1053">
        <v>0</v>
      </c>
      <c r="T19" s="1053">
        <v>0</v>
      </c>
      <c r="U19" s="1053">
        <v>0</v>
      </c>
      <c r="V19" s="1053">
        <v>0</v>
      </c>
      <c r="W19" s="1053">
        <v>0</v>
      </c>
      <c r="X19" s="1053">
        <v>6.75</v>
      </c>
      <c r="Y19" s="1053">
        <v>9.05</v>
      </c>
      <c r="Z19" s="1053">
        <v>7.5</v>
      </c>
      <c r="AA19" s="1053">
        <v>7.25</v>
      </c>
      <c r="AB19" s="1053">
        <v>7.75</v>
      </c>
      <c r="AC19" s="1053">
        <v>10</v>
      </c>
      <c r="AD19" s="1053">
        <v>6.75</v>
      </c>
      <c r="AE19" s="1053">
        <v>9</v>
      </c>
      <c r="AF19" s="1053">
        <v>6</v>
      </c>
      <c r="AG19" s="1053">
        <v>2</v>
      </c>
      <c r="AH19" s="1053">
        <v>5.5</v>
      </c>
      <c r="AI19" s="1053">
        <v>5</v>
      </c>
      <c r="AJ19" s="1053">
        <v>4.25</v>
      </c>
      <c r="AK19" s="1053">
        <v>5</v>
      </c>
      <c r="AL19" s="1053">
        <v>3.5</v>
      </c>
      <c r="AM19" s="1053">
        <v>3</v>
      </c>
      <c r="AN19" s="1053">
        <v>1.5</v>
      </c>
      <c r="AO19" s="1055">
        <v>46</v>
      </c>
      <c r="AP19" s="1056">
        <v>6.15</v>
      </c>
      <c r="AQ19" s="1057">
        <v>131.33</v>
      </c>
      <c r="AR19" s="1058">
        <v>38.3</v>
      </c>
    </row>
    <row r="20" spans="1:44" ht="20.25">
      <c r="A20" s="1050" t="s">
        <v>115</v>
      </c>
      <c r="B20" s="1051">
        <v>6.988967935050025</v>
      </c>
      <c r="C20" s="1051">
        <v>9.76978021978022</v>
      </c>
      <c r="D20" s="1051">
        <v>4.20815565031983</v>
      </c>
      <c r="E20" s="1076">
        <v>182</v>
      </c>
      <c r="F20" s="1076">
        <v>938</v>
      </c>
      <c r="G20" s="1076">
        <v>51</v>
      </c>
      <c r="H20" s="1076">
        <v>32</v>
      </c>
      <c r="I20" s="1076">
        <v>42</v>
      </c>
      <c r="J20" s="1076">
        <v>2</v>
      </c>
      <c r="K20" s="1076">
        <v>22</v>
      </c>
      <c r="L20" s="1076">
        <v>3</v>
      </c>
      <c r="M20" s="1076">
        <v>91</v>
      </c>
      <c r="N20" s="1076">
        <v>19</v>
      </c>
      <c r="O20" s="1076">
        <v>7</v>
      </c>
      <c r="P20" s="1076">
        <v>0</v>
      </c>
      <c r="Q20" s="1076">
        <v>253</v>
      </c>
      <c r="R20" s="1076">
        <v>389</v>
      </c>
      <c r="S20" s="1076">
        <v>19</v>
      </c>
      <c r="T20" s="1076">
        <v>25</v>
      </c>
      <c r="U20" s="1076">
        <v>0</v>
      </c>
      <c r="V20" s="1076">
        <v>0</v>
      </c>
      <c r="W20" s="1076">
        <v>128</v>
      </c>
      <c r="X20" s="1076">
        <v>6.75</v>
      </c>
      <c r="Y20" s="1076">
        <v>9.05</v>
      </c>
      <c r="Z20" s="1076">
        <v>7.5</v>
      </c>
      <c r="AA20" s="1076">
        <v>7.25</v>
      </c>
      <c r="AB20" s="1076">
        <v>7.75</v>
      </c>
      <c r="AC20" s="1076">
        <v>10</v>
      </c>
      <c r="AD20" s="1076">
        <v>6.75</v>
      </c>
      <c r="AE20" s="1076">
        <v>9</v>
      </c>
      <c r="AF20" s="1076">
        <v>6</v>
      </c>
      <c r="AG20" s="1076">
        <v>2</v>
      </c>
      <c r="AH20" s="1076">
        <v>5.5</v>
      </c>
      <c r="AI20" s="1076">
        <v>5</v>
      </c>
      <c r="AJ20" s="1076">
        <v>4.25</v>
      </c>
      <c r="AK20" s="1076">
        <v>5</v>
      </c>
      <c r="AL20" s="1076">
        <v>3.5</v>
      </c>
      <c r="AM20" s="1076">
        <v>3</v>
      </c>
      <c r="AN20" s="1076">
        <v>1.5</v>
      </c>
      <c r="AO20" s="1075">
        <v>1120</v>
      </c>
      <c r="AP20" s="1077">
        <v>6.0635824995899625</v>
      </c>
      <c r="AQ20" s="1074">
        <v>131.33</v>
      </c>
      <c r="AR20" s="1058">
        <v>918.6</v>
      </c>
    </row>
    <row r="21" spans="1:44" ht="20.25">
      <c r="A21" s="1059" t="s">
        <v>116</v>
      </c>
      <c r="B21" s="1052">
        <v>13.496666666666666</v>
      </c>
      <c r="C21" s="1052">
        <v>18.993333333333332</v>
      </c>
      <c r="D21" s="1052">
        <v>8</v>
      </c>
      <c r="E21" s="1052">
        <v>15</v>
      </c>
      <c r="F21" s="1057">
        <v>5</v>
      </c>
      <c r="G21" s="1057">
        <v>5</v>
      </c>
      <c r="H21" s="1057">
        <v>18</v>
      </c>
      <c r="I21" s="1057">
        <v>7</v>
      </c>
      <c r="J21" s="1057">
        <v>0</v>
      </c>
      <c r="K21" s="1057">
        <v>2</v>
      </c>
      <c r="L21" s="1057">
        <v>0</v>
      </c>
      <c r="M21" s="1057">
        <v>3</v>
      </c>
      <c r="N21" s="1057">
        <v>0</v>
      </c>
      <c r="O21" s="1057">
        <v>0</v>
      </c>
      <c r="P21" s="1057">
        <v>0</v>
      </c>
      <c r="Q21" s="1057">
        <v>0</v>
      </c>
      <c r="R21" s="1057">
        <v>8</v>
      </c>
      <c r="S21" s="1057">
        <v>0</v>
      </c>
      <c r="T21" s="1057">
        <v>0</v>
      </c>
      <c r="U21" s="1057">
        <v>0</v>
      </c>
      <c r="V21" s="1057">
        <v>0</v>
      </c>
      <c r="W21" s="1057">
        <v>0</v>
      </c>
      <c r="X21" s="1057">
        <v>6.75</v>
      </c>
      <c r="Y21" s="1057">
        <v>9.05</v>
      </c>
      <c r="Z21" s="1057">
        <v>7.5</v>
      </c>
      <c r="AA21" s="1057">
        <v>7.25</v>
      </c>
      <c r="AB21" s="1057">
        <v>7.75</v>
      </c>
      <c r="AC21" s="1057">
        <v>10</v>
      </c>
      <c r="AD21" s="1057">
        <v>6.75</v>
      </c>
      <c r="AE21" s="1057">
        <v>9</v>
      </c>
      <c r="AF21" s="1057">
        <v>6</v>
      </c>
      <c r="AG21" s="1057">
        <v>2</v>
      </c>
      <c r="AH21" s="1057">
        <v>5.5</v>
      </c>
      <c r="AI21" s="1057">
        <v>5</v>
      </c>
      <c r="AJ21" s="1057">
        <v>4.25</v>
      </c>
      <c r="AK21" s="1057">
        <v>5</v>
      </c>
      <c r="AL21" s="1057">
        <v>3.5</v>
      </c>
      <c r="AM21" s="1057">
        <v>3</v>
      </c>
      <c r="AN21" s="1057">
        <v>1.5</v>
      </c>
      <c r="AO21" s="1057">
        <v>20</v>
      </c>
      <c r="AP21" s="1057">
        <v>6.288333333333334</v>
      </c>
      <c r="AQ21" s="1057">
        <v>131.33</v>
      </c>
      <c r="AR21" s="1062">
        <v>17</v>
      </c>
    </row>
    <row r="22" spans="1:44" ht="20.25">
      <c r="A22" s="1059" t="s">
        <v>117</v>
      </c>
      <c r="B22" s="1052">
        <v>5.133333333333333</v>
      </c>
      <c r="C22" s="1052">
        <v>5.266666666666667</v>
      </c>
      <c r="D22" s="1052">
        <v>5</v>
      </c>
      <c r="E22" s="1052">
        <v>3</v>
      </c>
      <c r="F22" s="1057">
        <v>1</v>
      </c>
      <c r="G22" s="1057">
        <v>0</v>
      </c>
      <c r="H22" s="1057">
        <v>1</v>
      </c>
      <c r="I22" s="1057">
        <v>0</v>
      </c>
      <c r="J22" s="1057">
        <v>0</v>
      </c>
      <c r="K22" s="1057">
        <v>0</v>
      </c>
      <c r="L22" s="1057">
        <v>0</v>
      </c>
      <c r="M22" s="1057">
        <v>1</v>
      </c>
      <c r="N22" s="1057">
        <v>0</v>
      </c>
      <c r="O22" s="1057">
        <v>0</v>
      </c>
      <c r="P22" s="1057">
        <v>0</v>
      </c>
      <c r="Q22" s="1057">
        <v>0</v>
      </c>
      <c r="R22" s="1057">
        <v>1</v>
      </c>
      <c r="S22" s="1057">
        <v>0</v>
      </c>
      <c r="T22" s="1057">
        <v>0</v>
      </c>
      <c r="U22" s="1057">
        <v>0</v>
      </c>
      <c r="V22" s="1057">
        <v>0</v>
      </c>
      <c r="W22" s="1057">
        <v>0</v>
      </c>
      <c r="X22" s="1057">
        <v>6.75</v>
      </c>
      <c r="Y22" s="1057">
        <v>9.05</v>
      </c>
      <c r="Z22" s="1057">
        <v>7.5</v>
      </c>
      <c r="AA22" s="1057">
        <v>7.25</v>
      </c>
      <c r="AB22" s="1057">
        <v>7.75</v>
      </c>
      <c r="AC22" s="1057">
        <v>10</v>
      </c>
      <c r="AD22" s="1057">
        <v>6.75</v>
      </c>
      <c r="AE22" s="1057">
        <v>9</v>
      </c>
      <c r="AF22" s="1057">
        <v>6</v>
      </c>
      <c r="AG22" s="1057">
        <v>2</v>
      </c>
      <c r="AH22" s="1057">
        <v>5.5</v>
      </c>
      <c r="AI22" s="1057">
        <v>5</v>
      </c>
      <c r="AJ22" s="1057">
        <v>4.25</v>
      </c>
      <c r="AK22" s="1057">
        <v>5</v>
      </c>
      <c r="AL22" s="1057">
        <v>3.5</v>
      </c>
      <c r="AM22" s="1057">
        <v>3</v>
      </c>
      <c r="AN22" s="1057">
        <v>1.5</v>
      </c>
      <c r="AO22" s="1057">
        <v>4</v>
      </c>
      <c r="AP22" s="1057">
        <v>6.64</v>
      </c>
      <c r="AQ22" s="1057">
        <v>131.33</v>
      </c>
      <c r="AR22" s="1062">
        <v>3.6</v>
      </c>
    </row>
    <row r="23" spans="1:44" ht="20.25">
      <c r="A23" s="1050" t="s">
        <v>118</v>
      </c>
      <c r="B23" s="1051">
        <v>8.327752090169552</v>
      </c>
      <c r="C23" s="1051">
        <v>9.253647416413374</v>
      </c>
      <c r="D23" s="1051">
        <v>7.401856763925729</v>
      </c>
      <c r="E23" s="1051">
        <v>329</v>
      </c>
      <c r="F23" s="1074">
        <v>754</v>
      </c>
      <c r="G23" s="1074">
        <v>103</v>
      </c>
      <c r="H23" s="1074">
        <v>84</v>
      </c>
      <c r="I23" s="1074">
        <v>63</v>
      </c>
      <c r="J23" s="1074">
        <v>0</v>
      </c>
      <c r="K23" s="1074">
        <v>34</v>
      </c>
      <c r="L23" s="1074">
        <v>7</v>
      </c>
      <c r="M23" s="1074">
        <v>116</v>
      </c>
      <c r="N23" s="1074">
        <v>39</v>
      </c>
      <c r="O23" s="1074">
        <v>91</v>
      </c>
      <c r="P23" s="1074">
        <v>0</v>
      </c>
      <c r="Q23" s="1074">
        <v>243</v>
      </c>
      <c r="R23" s="1074">
        <v>527</v>
      </c>
      <c r="S23" s="1074">
        <v>46</v>
      </c>
      <c r="T23" s="1074">
        <v>29</v>
      </c>
      <c r="U23" s="1074">
        <v>0</v>
      </c>
      <c r="V23" s="1074">
        <v>0</v>
      </c>
      <c r="W23" s="1074">
        <v>248</v>
      </c>
      <c r="X23" s="1074">
        <v>6.75</v>
      </c>
      <c r="Y23" s="1074">
        <v>9.05</v>
      </c>
      <c r="Z23" s="1074">
        <v>7.5</v>
      </c>
      <c r="AA23" s="1074">
        <v>7.25</v>
      </c>
      <c r="AB23" s="1074">
        <v>7.75</v>
      </c>
      <c r="AC23" s="1074">
        <v>10</v>
      </c>
      <c r="AD23" s="1074">
        <v>6.75</v>
      </c>
      <c r="AE23" s="1074">
        <v>9</v>
      </c>
      <c r="AF23" s="1074">
        <v>6</v>
      </c>
      <c r="AG23" s="1074">
        <v>2</v>
      </c>
      <c r="AH23" s="1074">
        <v>5.5</v>
      </c>
      <c r="AI23" s="1074">
        <v>5</v>
      </c>
      <c r="AJ23" s="1074">
        <v>4.25</v>
      </c>
      <c r="AK23" s="1074">
        <v>5</v>
      </c>
      <c r="AL23" s="1074">
        <v>3.5</v>
      </c>
      <c r="AM23" s="1074">
        <v>3</v>
      </c>
      <c r="AN23" s="1074">
        <v>1.5</v>
      </c>
      <c r="AO23" s="1074">
        <v>1083</v>
      </c>
      <c r="AP23" s="1074">
        <v>6.264652955261905</v>
      </c>
      <c r="AQ23" s="1074">
        <v>131.33</v>
      </c>
      <c r="AR23" s="1062">
        <v>917.7</v>
      </c>
    </row>
    <row r="24" spans="1:44" ht="20.25">
      <c r="A24" s="1059" t="s">
        <v>119</v>
      </c>
      <c r="B24" s="1052">
        <v>11.464285714285715</v>
      </c>
      <c r="C24" s="1052">
        <v>7.928571428571429</v>
      </c>
      <c r="D24" s="1052">
        <v>15</v>
      </c>
      <c r="E24" s="1052">
        <v>7</v>
      </c>
      <c r="F24" s="1057">
        <v>2</v>
      </c>
      <c r="G24" s="1057">
        <v>1</v>
      </c>
      <c r="H24" s="1057">
        <v>0</v>
      </c>
      <c r="I24" s="1057">
        <v>2</v>
      </c>
      <c r="J24" s="1057">
        <v>0</v>
      </c>
      <c r="K24" s="1057">
        <v>0</v>
      </c>
      <c r="L24" s="1057">
        <v>0</v>
      </c>
      <c r="M24" s="1057">
        <v>5</v>
      </c>
      <c r="N24" s="1057">
        <v>0</v>
      </c>
      <c r="O24" s="1057">
        <v>0</v>
      </c>
      <c r="P24" s="1057">
        <v>0</v>
      </c>
      <c r="Q24" s="1057">
        <v>0</v>
      </c>
      <c r="R24" s="1057">
        <v>6</v>
      </c>
      <c r="S24" s="1057">
        <v>0</v>
      </c>
      <c r="T24" s="1057">
        <v>0</v>
      </c>
      <c r="U24" s="1057">
        <v>0</v>
      </c>
      <c r="V24" s="1057">
        <v>0</v>
      </c>
      <c r="W24" s="1057">
        <v>0</v>
      </c>
      <c r="X24" s="1057">
        <v>6.75</v>
      </c>
      <c r="Y24" s="1057">
        <v>9.05</v>
      </c>
      <c r="Z24" s="1057">
        <v>7.5</v>
      </c>
      <c r="AA24" s="1057">
        <v>7.25</v>
      </c>
      <c r="AB24" s="1057">
        <v>7.75</v>
      </c>
      <c r="AC24" s="1057">
        <v>10</v>
      </c>
      <c r="AD24" s="1057">
        <v>6.75</v>
      </c>
      <c r="AE24" s="1057">
        <v>9</v>
      </c>
      <c r="AF24" s="1057">
        <v>6</v>
      </c>
      <c r="AG24" s="1057">
        <v>2</v>
      </c>
      <c r="AH24" s="1057">
        <v>5.5</v>
      </c>
      <c r="AI24" s="1057">
        <v>5</v>
      </c>
      <c r="AJ24" s="1057">
        <v>4.25</v>
      </c>
      <c r="AK24" s="1057">
        <v>5</v>
      </c>
      <c r="AL24" s="1057">
        <v>3.5</v>
      </c>
      <c r="AM24" s="1057">
        <v>3</v>
      </c>
      <c r="AN24" s="1057">
        <v>1.5</v>
      </c>
      <c r="AO24" s="1057">
        <v>9</v>
      </c>
      <c r="AP24" s="1057">
        <v>6.364285714285714</v>
      </c>
      <c r="AQ24" s="1057">
        <v>131.33</v>
      </c>
      <c r="AR24" s="1062">
        <v>7.7</v>
      </c>
    </row>
    <row r="25" spans="1:44" ht="20.25">
      <c r="A25" s="1050" t="s">
        <v>120</v>
      </c>
      <c r="B25" s="1051">
        <v>5.459883540312371</v>
      </c>
      <c r="C25" s="1051">
        <v>7.911284046692607</v>
      </c>
      <c r="D25" s="1051">
        <v>3.008483033932136</v>
      </c>
      <c r="E25" s="1051">
        <v>257</v>
      </c>
      <c r="F25" s="1074">
        <v>1002</v>
      </c>
      <c r="G25" s="1074">
        <v>66</v>
      </c>
      <c r="H25" s="1074">
        <v>44</v>
      </c>
      <c r="I25" s="1074">
        <v>32</v>
      </c>
      <c r="J25" s="1074">
        <v>3</v>
      </c>
      <c r="K25" s="1074">
        <v>24</v>
      </c>
      <c r="L25" s="1074">
        <v>6</v>
      </c>
      <c r="M25" s="1074">
        <v>101</v>
      </c>
      <c r="N25" s="1074">
        <v>16</v>
      </c>
      <c r="O25" s="1074">
        <v>52</v>
      </c>
      <c r="P25" s="1074">
        <v>1</v>
      </c>
      <c r="Q25" s="1074">
        <v>324</v>
      </c>
      <c r="R25" s="1074">
        <v>98</v>
      </c>
      <c r="S25" s="1074">
        <v>6</v>
      </c>
      <c r="T25" s="1074">
        <v>20</v>
      </c>
      <c r="U25" s="1074">
        <v>0</v>
      </c>
      <c r="V25" s="1074">
        <v>0</v>
      </c>
      <c r="W25" s="1074">
        <v>106</v>
      </c>
      <c r="X25" s="1074">
        <v>6.75</v>
      </c>
      <c r="Y25" s="1074">
        <v>9.05</v>
      </c>
      <c r="Z25" s="1074">
        <v>7.5</v>
      </c>
      <c r="AA25" s="1074">
        <v>7.25</v>
      </c>
      <c r="AB25" s="1074">
        <v>7.75</v>
      </c>
      <c r="AC25" s="1074">
        <v>10</v>
      </c>
      <c r="AD25" s="1074">
        <v>6.75</v>
      </c>
      <c r="AE25" s="1074">
        <v>9</v>
      </c>
      <c r="AF25" s="1074">
        <v>6</v>
      </c>
      <c r="AG25" s="1074">
        <v>2</v>
      </c>
      <c r="AH25" s="1074">
        <v>5.5</v>
      </c>
      <c r="AI25" s="1074">
        <v>5</v>
      </c>
      <c r="AJ25" s="1074">
        <v>4.25</v>
      </c>
      <c r="AK25" s="1074">
        <v>5</v>
      </c>
      <c r="AL25" s="1074">
        <v>3.5</v>
      </c>
      <c r="AM25" s="1074">
        <v>3</v>
      </c>
      <c r="AN25" s="1074">
        <v>1.5</v>
      </c>
      <c r="AO25" s="1074">
        <v>1259</v>
      </c>
      <c r="AP25" s="1074">
        <v>6.093841014469117</v>
      </c>
      <c r="AQ25" s="1074">
        <v>131.33</v>
      </c>
      <c r="AR25" s="1062">
        <v>1037.8</v>
      </c>
    </row>
    <row r="26" spans="1:44" ht="20.25">
      <c r="A26" s="1059" t="s">
        <v>121</v>
      </c>
      <c r="B26" s="1052">
        <v>7.848809523809524</v>
      </c>
      <c r="C26" s="1052">
        <v>9.269047619047619</v>
      </c>
      <c r="D26" s="1052">
        <v>6.428571428571429</v>
      </c>
      <c r="E26" s="1052">
        <v>21</v>
      </c>
      <c r="F26" s="1057">
        <v>14</v>
      </c>
      <c r="G26" s="1057">
        <v>3</v>
      </c>
      <c r="H26" s="1057">
        <v>3</v>
      </c>
      <c r="I26" s="1057">
        <v>2</v>
      </c>
      <c r="J26" s="1057">
        <v>0</v>
      </c>
      <c r="K26" s="1057">
        <v>4</v>
      </c>
      <c r="L26" s="1057">
        <v>0</v>
      </c>
      <c r="M26" s="1057">
        <v>15</v>
      </c>
      <c r="N26" s="1057">
        <v>0</v>
      </c>
      <c r="O26" s="1057">
        <v>0</v>
      </c>
      <c r="P26" s="1057">
        <v>0</v>
      </c>
      <c r="Q26" s="1057">
        <v>0</v>
      </c>
      <c r="R26" s="1057">
        <v>18</v>
      </c>
      <c r="S26" s="1057">
        <v>0</v>
      </c>
      <c r="T26" s="1057">
        <v>0</v>
      </c>
      <c r="U26" s="1057">
        <v>0</v>
      </c>
      <c r="V26" s="1057">
        <v>0</v>
      </c>
      <c r="W26" s="1057">
        <v>0</v>
      </c>
      <c r="X26" s="1057">
        <v>6.75</v>
      </c>
      <c r="Y26" s="1057">
        <v>9.05</v>
      </c>
      <c r="Z26" s="1057">
        <v>7.5</v>
      </c>
      <c r="AA26" s="1057">
        <v>7.25</v>
      </c>
      <c r="AB26" s="1057">
        <v>7.75</v>
      </c>
      <c r="AC26" s="1057">
        <v>10</v>
      </c>
      <c r="AD26" s="1057">
        <v>6.75</v>
      </c>
      <c r="AE26" s="1057">
        <v>9</v>
      </c>
      <c r="AF26" s="1057">
        <v>6</v>
      </c>
      <c r="AG26" s="1057">
        <v>2</v>
      </c>
      <c r="AH26" s="1057">
        <v>5.5</v>
      </c>
      <c r="AI26" s="1057">
        <v>5</v>
      </c>
      <c r="AJ26" s="1057">
        <v>4.25</v>
      </c>
      <c r="AK26" s="1057">
        <v>5</v>
      </c>
      <c r="AL26" s="1057">
        <v>3.5</v>
      </c>
      <c r="AM26" s="1057">
        <v>3</v>
      </c>
      <c r="AN26" s="1057">
        <v>1.5</v>
      </c>
      <c r="AO26" s="1057">
        <v>35</v>
      </c>
      <c r="AP26" s="1057">
        <v>6.085714285714285</v>
      </c>
      <c r="AQ26" s="1057">
        <v>131.33</v>
      </c>
      <c r="AR26" s="1062">
        <v>28.8</v>
      </c>
    </row>
    <row r="27" spans="1:44" ht="20.25">
      <c r="A27" s="1059" t="s">
        <v>122</v>
      </c>
      <c r="B27" s="1052">
        <v>20.222934472934476</v>
      </c>
      <c r="C27" s="1052">
        <v>23.90740740740741</v>
      </c>
      <c r="D27" s="1052">
        <v>16.53846153846154</v>
      </c>
      <c r="E27" s="1052">
        <v>27</v>
      </c>
      <c r="F27" s="1057">
        <v>13</v>
      </c>
      <c r="G27" s="1057">
        <v>22</v>
      </c>
      <c r="H27" s="1057">
        <v>15</v>
      </c>
      <c r="I27" s="1057">
        <v>21</v>
      </c>
      <c r="J27" s="1057">
        <v>0</v>
      </c>
      <c r="K27" s="1057">
        <v>8</v>
      </c>
      <c r="L27" s="1057">
        <v>0</v>
      </c>
      <c r="M27" s="1057">
        <v>21</v>
      </c>
      <c r="N27" s="1057">
        <v>0</v>
      </c>
      <c r="O27" s="1057">
        <v>0</v>
      </c>
      <c r="P27" s="1057">
        <v>0</v>
      </c>
      <c r="Q27" s="1057">
        <v>0</v>
      </c>
      <c r="R27" s="1057">
        <v>43</v>
      </c>
      <c r="S27" s="1057">
        <v>0</v>
      </c>
      <c r="T27" s="1057">
        <v>0</v>
      </c>
      <c r="U27" s="1057">
        <v>0</v>
      </c>
      <c r="V27" s="1057">
        <v>0</v>
      </c>
      <c r="W27" s="1057">
        <v>0</v>
      </c>
      <c r="X27" s="1057">
        <v>6.75</v>
      </c>
      <c r="Y27" s="1057">
        <v>9.05</v>
      </c>
      <c r="Z27" s="1057">
        <v>7.5</v>
      </c>
      <c r="AA27" s="1057">
        <v>7.25</v>
      </c>
      <c r="AB27" s="1057">
        <v>7.75</v>
      </c>
      <c r="AC27" s="1057">
        <v>10</v>
      </c>
      <c r="AD27" s="1057">
        <v>6.75</v>
      </c>
      <c r="AE27" s="1057">
        <v>9</v>
      </c>
      <c r="AF27" s="1057">
        <v>6</v>
      </c>
      <c r="AG27" s="1057">
        <v>2</v>
      </c>
      <c r="AH27" s="1057">
        <v>5.5</v>
      </c>
      <c r="AI27" s="1057">
        <v>5</v>
      </c>
      <c r="AJ27" s="1057">
        <v>4.25</v>
      </c>
      <c r="AK27" s="1057">
        <v>5</v>
      </c>
      <c r="AL27" s="1057">
        <v>3.5</v>
      </c>
      <c r="AM27" s="1057">
        <v>3</v>
      </c>
      <c r="AN27" s="1057">
        <v>1.5</v>
      </c>
      <c r="AO27" s="1057">
        <v>40</v>
      </c>
      <c r="AP27" s="1057">
        <v>6.332407407407407</v>
      </c>
      <c r="AQ27" s="1057">
        <v>131.33</v>
      </c>
      <c r="AR27" s="1062">
        <v>34.3</v>
      </c>
    </row>
    <row r="28" spans="1:44" ht="20.25">
      <c r="A28" s="1059" t="s">
        <v>123</v>
      </c>
      <c r="B28" s="1052">
        <v>9.34396404109589</v>
      </c>
      <c r="C28" s="1052">
        <v>10.719178082191782</v>
      </c>
      <c r="D28" s="1052">
        <v>7.96875</v>
      </c>
      <c r="E28" s="1052">
        <v>73</v>
      </c>
      <c r="F28" s="1057">
        <v>32</v>
      </c>
      <c r="G28" s="1057">
        <v>22</v>
      </c>
      <c r="H28" s="1057">
        <v>25</v>
      </c>
      <c r="I28" s="1057">
        <v>20</v>
      </c>
      <c r="J28" s="1057">
        <v>0</v>
      </c>
      <c r="K28" s="1057">
        <v>8</v>
      </c>
      <c r="L28" s="1057">
        <v>0</v>
      </c>
      <c r="M28" s="1057">
        <v>29</v>
      </c>
      <c r="N28" s="1057">
        <v>0</v>
      </c>
      <c r="O28" s="1057">
        <v>0</v>
      </c>
      <c r="P28" s="1057">
        <v>0</v>
      </c>
      <c r="Q28" s="1057">
        <v>0</v>
      </c>
      <c r="R28" s="1057">
        <v>51</v>
      </c>
      <c r="S28" s="1057">
        <v>0</v>
      </c>
      <c r="T28" s="1057">
        <v>0</v>
      </c>
      <c r="U28" s="1057">
        <v>0</v>
      </c>
      <c r="V28" s="1057">
        <v>0</v>
      </c>
      <c r="W28" s="1057">
        <v>0</v>
      </c>
      <c r="X28" s="1057">
        <v>6.75</v>
      </c>
      <c r="Y28" s="1057">
        <v>9.05</v>
      </c>
      <c r="Z28" s="1057">
        <v>7.5</v>
      </c>
      <c r="AA28" s="1057">
        <v>7.25</v>
      </c>
      <c r="AB28" s="1057">
        <v>7.75</v>
      </c>
      <c r="AC28" s="1057">
        <v>10</v>
      </c>
      <c r="AD28" s="1057">
        <v>6.75</v>
      </c>
      <c r="AE28" s="1057">
        <v>9</v>
      </c>
      <c r="AF28" s="1057">
        <v>6</v>
      </c>
      <c r="AG28" s="1057">
        <v>2</v>
      </c>
      <c r="AH28" s="1057">
        <v>5.5</v>
      </c>
      <c r="AI28" s="1057">
        <v>5</v>
      </c>
      <c r="AJ28" s="1057">
        <v>4.25</v>
      </c>
      <c r="AK28" s="1057">
        <v>5</v>
      </c>
      <c r="AL28" s="1057">
        <v>3.5</v>
      </c>
      <c r="AM28" s="1057">
        <v>3</v>
      </c>
      <c r="AN28" s="1057">
        <v>1.5</v>
      </c>
      <c r="AO28" s="1057">
        <v>105</v>
      </c>
      <c r="AP28" s="1057">
        <v>6.286986301369863</v>
      </c>
      <c r="AQ28" s="1057">
        <v>131.33</v>
      </c>
      <c r="AR28" s="1062">
        <v>89.3</v>
      </c>
    </row>
    <row r="29" spans="1:44" ht="20.25">
      <c r="A29" s="1059" t="s">
        <v>13</v>
      </c>
      <c r="B29" s="1052"/>
      <c r="C29" s="1052"/>
      <c r="D29" s="1052"/>
      <c r="E29" s="1052">
        <v>7012</v>
      </c>
      <c r="F29" s="1057">
        <v>15405</v>
      </c>
      <c r="G29" s="1057">
        <v>1982</v>
      </c>
      <c r="H29" s="1057">
        <v>1545</v>
      </c>
      <c r="I29" s="1057">
        <v>1145</v>
      </c>
      <c r="J29" s="1057">
        <v>47</v>
      </c>
      <c r="K29" s="1057">
        <v>567</v>
      </c>
      <c r="L29" s="1057">
        <v>134</v>
      </c>
      <c r="M29" s="1057">
        <v>2168</v>
      </c>
      <c r="N29" s="1057">
        <v>429</v>
      </c>
      <c r="O29" s="1057">
        <v>1135</v>
      </c>
      <c r="P29" s="1057">
        <v>1</v>
      </c>
      <c r="Q29" s="1057">
        <v>3846</v>
      </c>
      <c r="R29" s="1057">
        <v>8952</v>
      </c>
      <c r="S29" s="1057">
        <v>269</v>
      </c>
      <c r="T29" s="1057">
        <v>431</v>
      </c>
      <c r="U29" s="1057">
        <v>0</v>
      </c>
      <c r="V29" s="1057">
        <v>0</v>
      </c>
      <c r="W29" s="1057">
        <v>1985</v>
      </c>
      <c r="X29" s="1057">
        <v>189</v>
      </c>
      <c r="Y29" s="1057">
        <v>253.40000000000012</v>
      </c>
      <c r="Z29" s="1057">
        <v>210</v>
      </c>
      <c r="AA29" s="1057">
        <v>203</v>
      </c>
      <c r="AB29" s="1057">
        <v>217</v>
      </c>
      <c r="AC29" s="1057">
        <v>280</v>
      </c>
      <c r="AD29" s="1057">
        <v>189</v>
      </c>
      <c r="AE29" s="1057">
        <v>252</v>
      </c>
      <c r="AF29" s="1057">
        <v>168</v>
      </c>
      <c r="AG29" s="1057">
        <v>56</v>
      </c>
      <c r="AH29" s="1057">
        <v>154</v>
      </c>
      <c r="AI29" s="1057">
        <v>140</v>
      </c>
      <c r="AJ29" s="1057">
        <v>119</v>
      </c>
      <c r="AK29" s="1057">
        <v>140</v>
      </c>
      <c r="AL29" s="1057">
        <v>98</v>
      </c>
      <c r="AM29" s="1057">
        <v>84</v>
      </c>
      <c r="AN29" s="1057">
        <v>42</v>
      </c>
      <c r="AO29" s="1057">
        <v>22417</v>
      </c>
      <c r="AP29" s="1057"/>
      <c r="AQ29" s="1057"/>
      <c r="AR29" s="1062">
        <f>SUM(AR4:AR28)</f>
        <v>18717.1</v>
      </c>
    </row>
    <row r="30" spans="1:44" ht="20.25">
      <c r="A30" s="1063"/>
      <c r="B30" s="1064"/>
      <c r="C30" s="1064"/>
      <c r="D30" s="1064"/>
      <c r="E30" s="1064"/>
      <c r="F30" s="1065"/>
      <c r="G30" s="1065"/>
      <c r="H30" s="1065"/>
      <c r="I30" s="1065"/>
      <c r="J30" s="1065"/>
      <c r="K30" s="1065"/>
      <c r="L30" s="1065"/>
      <c r="M30" s="1065"/>
      <c r="N30" s="1065"/>
      <c r="O30" s="1065"/>
      <c r="P30" s="1065"/>
      <c r="Q30" s="1065"/>
      <c r="R30" s="1065"/>
      <c r="S30" s="1065"/>
      <c r="T30" s="1065"/>
      <c r="U30" s="1065"/>
      <c r="V30" s="1065"/>
      <c r="W30" s="1065"/>
      <c r="X30" s="1065"/>
      <c r="Y30" s="1065"/>
      <c r="Z30" s="1065"/>
      <c r="AA30" s="1065"/>
      <c r="AB30" s="1065"/>
      <c r="AC30" s="1065"/>
      <c r="AD30" s="1065"/>
      <c r="AE30" s="1065"/>
      <c r="AF30" s="1065"/>
      <c r="AG30" s="1065"/>
      <c r="AH30" s="1065"/>
      <c r="AI30" s="1065"/>
      <c r="AJ30" s="1065"/>
      <c r="AK30" s="1065"/>
      <c r="AL30" s="1065"/>
      <c r="AM30" s="1065"/>
      <c r="AN30" s="1065"/>
      <c r="AO30" s="1065"/>
      <c r="AP30" s="1065"/>
      <c r="AQ30" s="1065"/>
      <c r="AR30" s="1066"/>
    </row>
    <row r="31" spans="1:44" ht="20.25">
      <c r="A31" s="1063"/>
      <c r="B31" s="1064"/>
      <c r="C31" s="1064"/>
      <c r="D31" s="1064"/>
      <c r="E31" s="1064"/>
      <c r="F31" s="1065"/>
      <c r="G31" s="1065"/>
      <c r="H31" s="1065"/>
      <c r="I31" s="1065"/>
      <c r="J31" s="1065"/>
      <c r="K31" s="1065"/>
      <c r="L31" s="1065"/>
      <c r="M31" s="1065"/>
      <c r="N31" s="1065"/>
      <c r="O31" s="1065"/>
      <c r="P31" s="1065"/>
      <c r="Q31" s="1065"/>
      <c r="R31" s="1065"/>
      <c r="S31" s="1065"/>
      <c r="T31" s="1065"/>
      <c r="U31" s="1065"/>
      <c r="V31" s="1065"/>
      <c r="W31" s="1065"/>
      <c r="X31" s="1065"/>
      <c r="Y31" s="1065"/>
      <c r="Z31" s="1065"/>
      <c r="AA31" s="1065"/>
      <c r="AB31" s="1065"/>
      <c r="AC31" s="1065"/>
      <c r="AD31" s="1065"/>
      <c r="AE31" s="1065"/>
      <c r="AF31" s="1065"/>
      <c r="AG31" s="1065"/>
      <c r="AH31" s="1065"/>
      <c r="AI31" s="1065"/>
      <c r="AJ31" s="1065"/>
      <c r="AK31" s="1065"/>
      <c r="AL31" s="1065"/>
      <c r="AM31" s="1065"/>
      <c r="AN31" s="1065"/>
      <c r="AO31" s="1065"/>
      <c r="AP31" s="1065"/>
      <c r="AQ31" s="1065"/>
      <c r="AR31" s="1066"/>
    </row>
    <row r="32" spans="1:44" ht="20.25">
      <c r="A32" s="1296" t="s">
        <v>169</v>
      </c>
      <c r="B32" s="1296"/>
      <c r="C32" s="1296"/>
      <c r="D32" s="1296"/>
      <c r="E32" s="1296"/>
      <c r="F32" s="1296"/>
      <c r="G32" s="1296"/>
      <c r="H32" s="1296"/>
      <c r="I32" s="1296"/>
      <c r="J32" s="1296"/>
      <c r="K32" s="1296"/>
      <c r="L32" s="1296"/>
      <c r="M32" s="1296"/>
      <c r="N32" s="1296"/>
      <c r="O32" s="1296"/>
      <c r="P32" s="1296"/>
      <c r="Q32" s="1296"/>
      <c r="R32" s="1296"/>
      <c r="S32" s="1296"/>
      <c r="T32" s="1296"/>
      <c r="U32" s="1296"/>
      <c r="V32" s="1296"/>
      <c r="W32" s="1296"/>
      <c r="X32" s="1296"/>
      <c r="Y32" s="1296"/>
      <c r="Z32" s="1296"/>
      <c r="AA32" s="1296"/>
      <c r="AB32" s="1296"/>
      <c r="AC32" s="1296"/>
      <c r="AD32" s="1296"/>
      <c r="AE32" s="1296"/>
      <c r="AF32" s="1296"/>
      <c r="AG32" s="1296"/>
      <c r="AH32" s="1296"/>
      <c r="AI32" s="1296"/>
      <c r="AJ32" s="1296"/>
      <c r="AK32" s="1296"/>
      <c r="AL32" s="1296"/>
      <c r="AM32" s="1296"/>
      <c r="AN32" s="1296"/>
      <c r="AO32" s="1296"/>
      <c r="AP32" s="1296"/>
      <c r="AQ32" s="1296"/>
      <c r="AR32" s="1296"/>
    </row>
    <row r="33" spans="1:44" ht="20.25">
      <c r="A33" s="1067"/>
      <c r="B33" s="1067"/>
      <c r="C33" s="1067"/>
      <c r="D33" s="1067"/>
      <c r="E33" s="1068"/>
      <c r="F33" s="1068"/>
      <c r="G33" s="1068"/>
      <c r="H33" s="1068"/>
      <c r="I33" s="1068"/>
      <c r="J33" s="1068"/>
      <c r="K33" s="1068"/>
      <c r="L33" s="1068"/>
      <c r="M33" s="1068"/>
      <c r="N33" s="1068"/>
      <c r="O33" s="1068"/>
      <c r="P33" s="1068"/>
      <c r="Q33" s="1068"/>
      <c r="R33" s="1068"/>
      <c r="S33" s="1068"/>
      <c r="T33" s="1068"/>
      <c r="U33" s="1068"/>
      <c r="V33" s="1068"/>
      <c r="W33" s="1068"/>
      <c r="X33" s="1068"/>
      <c r="Y33" s="1068"/>
      <c r="Z33" s="1068"/>
      <c r="AA33" s="1068"/>
      <c r="AB33" s="1068"/>
      <c r="AC33" s="1068"/>
      <c r="AD33" s="1068"/>
      <c r="AE33" s="1068"/>
      <c r="AF33" s="1068"/>
      <c r="AG33" s="1068"/>
      <c r="AH33" s="1068"/>
      <c r="AI33" s="1068"/>
      <c r="AJ33" s="1068"/>
      <c r="AK33" s="1068"/>
      <c r="AL33" s="1068"/>
      <c r="AM33" s="1068"/>
      <c r="AN33" s="1068"/>
      <c r="AO33" s="1068"/>
      <c r="AP33" s="1068"/>
      <c r="AQ33" s="1069"/>
      <c r="AR33" s="1068"/>
    </row>
    <row r="34" spans="1:44" ht="243">
      <c r="A34" s="1044"/>
      <c r="B34" s="1045" t="s">
        <v>527</v>
      </c>
      <c r="C34" s="1045" t="s">
        <v>528</v>
      </c>
      <c r="D34" s="1045" t="s">
        <v>529</v>
      </c>
      <c r="E34" s="1046" t="s">
        <v>167</v>
      </c>
      <c r="F34" s="1046" t="s">
        <v>168</v>
      </c>
      <c r="G34" s="1047" t="s">
        <v>530</v>
      </c>
      <c r="H34" s="1047" t="s">
        <v>531</v>
      </c>
      <c r="I34" s="1047" t="s">
        <v>532</v>
      </c>
      <c r="J34" s="1047" t="s">
        <v>533</v>
      </c>
      <c r="K34" s="1047" t="s">
        <v>534</v>
      </c>
      <c r="L34" s="1047" t="s">
        <v>535</v>
      </c>
      <c r="M34" s="1047" t="s">
        <v>536</v>
      </c>
      <c r="N34" s="1047" t="s">
        <v>537</v>
      </c>
      <c r="O34" s="1047" t="s">
        <v>538</v>
      </c>
      <c r="P34" s="1047" t="s">
        <v>539</v>
      </c>
      <c r="Q34" s="1047" t="s">
        <v>540</v>
      </c>
      <c r="R34" s="1047" t="s">
        <v>541</v>
      </c>
      <c r="S34" s="1047" t="s">
        <v>542</v>
      </c>
      <c r="T34" s="1047" t="s">
        <v>543</v>
      </c>
      <c r="U34" s="1047" t="s">
        <v>544</v>
      </c>
      <c r="V34" s="1047" t="s">
        <v>545</v>
      </c>
      <c r="W34" s="1047" t="s">
        <v>546</v>
      </c>
      <c r="X34" s="1047" t="s">
        <v>547</v>
      </c>
      <c r="Y34" s="1047" t="s">
        <v>548</v>
      </c>
      <c r="Z34" s="1047" t="s">
        <v>549</v>
      </c>
      <c r="AA34" s="1047" t="s">
        <v>550</v>
      </c>
      <c r="AB34" s="1047" t="s">
        <v>551</v>
      </c>
      <c r="AC34" s="1047" t="s">
        <v>552</v>
      </c>
      <c r="AD34" s="1047" t="s">
        <v>553</v>
      </c>
      <c r="AE34" s="1047" t="s">
        <v>554</v>
      </c>
      <c r="AF34" s="1047" t="s">
        <v>555</v>
      </c>
      <c r="AG34" s="1047" t="s">
        <v>556</v>
      </c>
      <c r="AH34" s="1047" t="s">
        <v>557</v>
      </c>
      <c r="AI34" s="1047" t="s">
        <v>558</v>
      </c>
      <c r="AJ34" s="1047" t="s">
        <v>559</v>
      </c>
      <c r="AK34" s="1047" t="s">
        <v>560</v>
      </c>
      <c r="AL34" s="1047" t="s">
        <v>561</v>
      </c>
      <c r="AM34" s="1047" t="s">
        <v>562</v>
      </c>
      <c r="AN34" s="1047" t="s">
        <v>563</v>
      </c>
      <c r="AO34" s="1048" t="s">
        <v>564</v>
      </c>
      <c r="AP34" s="1048" t="s">
        <v>565</v>
      </c>
      <c r="AQ34" s="1049" t="s">
        <v>566</v>
      </c>
      <c r="AR34" s="1048" t="s">
        <v>568</v>
      </c>
    </row>
    <row r="35" spans="1:44" ht="20.25">
      <c r="A35" s="1050" t="s">
        <v>101</v>
      </c>
      <c r="B35" s="1051">
        <v>6.505859907028006</v>
      </c>
      <c r="C35" s="1051">
        <v>7.719995794785535</v>
      </c>
      <c r="D35" s="1051">
        <v>5.291724019270475</v>
      </c>
      <c r="E35" s="1076">
        <v>4756</v>
      </c>
      <c r="F35" s="1076">
        <v>8718</v>
      </c>
      <c r="G35" s="1076">
        <v>1377</v>
      </c>
      <c r="H35" s="1076">
        <v>1056</v>
      </c>
      <c r="I35" s="1076">
        <v>731</v>
      </c>
      <c r="J35" s="1076">
        <v>34</v>
      </c>
      <c r="K35" s="1076">
        <v>358</v>
      </c>
      <c r="L35" s="1076">
        <v>89</v>
      </c>
      <c r="M35" s="1076">
        <v>1255</v>
      </c>
      <c r="N35" s="1076">
        <v>192</v>
      </c>
      <c r="O35" s="1076">
        <v>612</v>
      </c>
      <c r="P35" s="1076">
        <v>0</v>
      </c>
      <c r="Q35" s="1076">
        <v>1967</v>
      </c>
      <c r="R35" s="1076">
        <v>5335</v>
      </c>
      <c r="S35" s="1076">
        <v>121</v>
      </c>
      <c r="T35" s="1076">
        <v>264</v>
      </c>
      <c r="U35" s="1076">
        <v>0</v>
      </c>
      <c r="V35" s="1076">
        <v>0</v>
      </c>
      <c r="W35" s="1076">
        <v>937</v>
      </c>
      <c r="X35" s="1078">
        <v>6.75</v>
      </c>
      <c r="Y35" s="1076">
        <v>9.05</v>
      </c>
      <c r="Z35" s="1076">
        <v>7.5</v>
      </c>
      <c r="AA35" s="1076">
        <v>7.25</v>
      </c>
      <c r="AB35" s="1076">
        <v>7.75</v>
      </c>
      <c r="AC35" s="1076">
        <v>10</v>
      </c>
      <c r="AD35" s="1076">
        <v>6.75</v>
      </c>
      <c r="AE35" s="1076">
        <v>9</v>
      </c>
      <c r="AF35" s="1076">
        <v>6</v>
      </c>
      <c r="AG35" s="1076">
        <v>2</v>
      </c>
      <c r="AH35" s="1076">
        <v>5.5</v>
      </c>
      <c r="AI35" s="1076">
        <v>5</v>
      </c>
      <c r="AJ35" s="1076">
        <v>4.25</v>
      </c>
      <c r="AK35" s="1076">
        <v>5</v>
      </c>
      <c r="AL35" s="1076">
        <v>3.5</v>
      </c>
      <c r="AM35" s="1076">
        <v>3</v>
      </c>
      <c r="AN35" s="1076">
        <v>1.5</v>
      </c>
      <c r="AO35" s="1075">
        <v>13474</v>
      </c>
      <c r="AP35" s="1077">
        <v>6.171956367499278</v>
      </c>
      <c r="AQ35" s="1074">
        <v>132.95</v>
      </c>
      <c r="AR35" s="1058">
        <v>11111.8</v>
      </c>
    </row>
    <row r="36" spans="1:44" ht="20.25">
      <c r="A36" s="1050" t="s">
        <v>102</v>
      </c>
      <c r="B36" s="1051">
        <v>6.3400592850012245</v>
      </c>
      <c r="C36" s="1051">
        <v>7.091066282420749</v>
      </c>
      <c r="D36" s="1051">
        <v>5.5890522875816995</v>
      </c>
      <c r="E36" s="1076">
        <v>347</v>
      </c>
      <c r="F36" s="1076">
        <v>1224</v>
      </c>
      <c r="G36" s="1076">
        <v>55</v>
      </c>
      <c r="H36" s="1076">
        <v>57</v>
      </c>
      <c r="I36" s="1076">
        <v>54</v>
      </c>
      <c r="J36" s="1076">
        <v>4</v>
      </c>
      <c r="K36" s="1076">
        <v>20</v>
      </c>
      <c r="L36" s="1076">
        <v>8</v>
      </c>
      <c r="M36" s="1076">
        <v>134</v>
      </c>
      <c r="N36" s="1076">
        <v>28</v>
      </c>
      <c r="O36" s="1076">
        <v>204</v>
      </c>
      <c r="P36" s="1076">
        <v>0</v>
      </c>
      <c r="Q36" s="1076">
        <v>271</v>
      </c>
      <c r="R36" s="1076">
        <v>667</v>
      </c>
      <c r="S36" s="1076">
        <v>14</v>
      </c>
      <c r="T36" s="1076">
        <v>27</v>
      </c>
      <c r="U36" s="1076">
        <v>0</v>
      </c>
      <c r="V36" s="1076">
        <v>0</v>
      </c>
      <c r="W36" s="1076">
        <v>230</v>
      </c>
      <c r="X36" s="1076">
        <v>6.75</v>
      </c>
      <c r="Y36" s="1076">
        <v>9.05</v>
      </c>
      <c r="Z36" s="1076">
        <v>7.5</v>
      </c>
      <c r="AA36" s="1076">
        <v>7.25</v>
      </c>
      <c r="AB36" s="1076">
        <v>7.75</v>
      </c>
      <c r="AC36" s="1076">
        <v>10</v>
      </c>
      <c r="AD36" s="1076">
        <v>6.75</v>
      </c>
      <c r="AE36" s="1076">
        <v>9</v>
      </c>
      <c r="AF36" s="1076">
        <v>6</v>
      </c>
      <c r="AG36" s="1076">
        <v>2</v>
      </c>
      <c r="AH36" s="1076">
        <v>5.5</v>
      </c>
      <c r="AI36" s="1076">
        <v>5</v>
      </c>
      <c r="AJ36" s="1076">
        <v>4.25</v>
      </c>
      <c r="AK36" s="1076">
        <v>5</v>
      </c>
      <c r="AL36" s="1076">
        <v>3.5</v>
      </c>
      <c r="AM36" s="1076">
        <v>3</v>
      </c>
      <c r="AN36" s="1076">
        <v>1.5</v>
      </c>
      <c r="AO36" s="1075">
        <v>1571</v>
      </c>
      <c r="AP36" s="1077">
        <v>6.271163250362585</v>
      </c>
      <c r="AQ36" s="1074">
        <v>132.95</v>
      </c>
      <c r="AR36" s="1058">
        <v>1316.2</v>
      </c>
    </row>
    <row r="37" spans="1:44" ht="20.25">
      <c r="A37" s="1059" t="s">
        <v>103</v>
      </c>
      <c r="B37" s="1051">
        <v>7.402406832298137</v>
      </c>
      <c r="C37" s="1052">
        <v>8.91195652173913</v>
      </c>
      <c r="D37" s="1052">
        <v>5.892857142857143</v>
      </c>
      <c r="E37" s="1053">
        <v>46</v>
      </c>
      <c r="F37" s="1053">
        <v>28</v>
      </c>
      <c r="G37" s="1053">
        <v>15</v>
      </c>
      <c r="H37" s="1053">
        <v>9</v>
      </c>
      <c r="I37" s="1053">
        <v>11</v>
      </c>
      <c r="J37" s="1053">
        <v>0</v>
      </c>
      <c r="K37" s="1053">
        <v>3</v>
      </c>
      <c r="L37" s="1053">
        <v>0</v>
      </c>
      <c r="M37" s="1053">
        <v>18</v>
      </c>
      <c r="N37" s="1053">
        <v>0</v>
      </c>
      <c r="O37" s="1053">
        <v>0</v>
      </c>
      <c r="P37" s="1053">
        <v>0</v>
      </c>
      <c r="Q37" s="1053">
        <v>0</v>
      </c>
      <c r="R37" s="1053">
        <v>33</v>
      </c>
      <c r="S37" s="1053">
        <v>0</v>
      </c>
      <c r="T37" s="1053">
        <v>0</v>
      </c>
      <c r="U37" s="1053">
        <v>0</v>
      </c>
      <c r="V37" s="1053">
        <v>0</v>
      </c>
      <c r="W37" s="1053">
        <v>0</v>
      </c>
      <c r="X37" s="1053">
        <v>6.75</v>
      </c>
      <c r="Y37" s="1053">
        <v>9.05</v>
      </c>
      <c r="Z37" s="1053">
        <v>7.5</v>
      </c>
      <c r="AA37" s="1053">
        <v>7.25</v>
      </c>
      <c r="AB37" s="1053">
        <v>7.75</v>
      </c>
      <c r="AC37" s="1053">
        <v>10</v>
      </c>
      <c r="AD37" s="1053">
        <v>6.75</v>
      </c>
      <c r="AE37" s="1053">
        <v>9</v>
      </c>
      <c r="AF37" s="1053">
        <v>6</v>
      </c>
      <c r="AG37" s="1053">
        <v>2</v>
      </c>
      <c r="AH37" s="1053">
        <v>5.5</v>
      </c>
      <c r="AI37" s="1053">
        <v>5</v>
      </c>
      <c r="AJ37" s="1053">
        <v>4.25</v>
      </c>
      <c r="AK37" s="1053">
        <v>5</v>
      </c>
      <c r="AL37" s="1053">
        <v>3.5</v>
      </c>
      <c r="AM37" s="1053">
        <v>3</v>
      </c>
      <c r="AN37" s="1053">
        <v>1.5</v>
      </c>
      <c r="AO37" s="1055">
        <v>74</v>
      </c>
      <c r="AP37" s="1056">
        <v>6.091847826086957</v>
      </c>
      <c r="AQ37" s="1057">
        <v>132.95</v>
      </c>
      <c r="AR37" s="1070">
        <v>60.2</v>
      </c>
    </row>
    <row r="38" spans="1:44" ht="20.25">
      <c r="A38" s="1059" t="s">
        <v>104</v>
      </c>
      <c r="B38" s="1051">
        <v>21.375</v>
      </c>
      <c r="C38" s="1052">
        <v>27.75</v>
      </c>
      <c r="D38" s="1052">
        <v>15</v>
      </c>
      <c r="E38" s="1053">
        <v>1</v>
      </c>
      <c r="F38" s="1053">
        <v>1</v>
      </c>
      <c r="G38" s="1053">
        <v>2</v>
      </c>
      <c r="H38" s="1053">
        <v>0</v>
      </c>
      <c r="I38" s="1053">
        <v>1</v>
      </c>
      <c r="J38" s="1053">
        <v>0</v>
      </c>
      <c r="K38" s="1053">
        <v>0</v>
      </c>
      <c r="L38" s="1053">
        <v>0</v>
      </c>
      <c r="M38" s="1053">
        <v>1</v>
      </c>
      <c r="N38" s="1053">
        <v>0</v>
      </c>
      <c r="O38" s="1053">
        <v>0</v>
      </c>
      <c r="P38" s="1053">
        <v>0</v>
      </c>
      <c r="Q38" s="1053">
        <v>0</v>
      </c>
      <c r="R38" s="1053">
        <v>3</v>
      </c>
      <c r="S38" s="1053">
        <v>0</v>
      </c>
      <c r="T38" s="1053">
        <v>0</v>
      </c>
      <c r="U38" s="1053">
        <v>0</v>
      </c>
      <c r="V38" s="1053">
        <v>0</v>
      </c>
      <c r="W38" s="1053">
        <v>0</v>
      </c>
      <c r="X38" s="1053">
        <v>6.75</v>
      </c>
      <c r="Y38" s="1053">
        <v>9.05</v>
      </c>
      <c r="Z38" s="1053">
        <v>7.5</v>
      </c>
      <c r="AA38" s="1053">
        <v>7.25</v>
      </c>
      <c r="AB38" s="1053">
        <v>7.75</v>
      </c>
      <c r="AC38" s="1053">
        <v>10</v>
      </c>
      <c r="AD38" s="1053">
        <v>6.75</v>
      </c>
      <c r="AE38" s="1053">
        <v>9</v>
      </c>
      <c r="AF38" s="1053">
        <v>6</v>
      </c>
      <c r="AG38" s="1053">
        <v>2</v>
      </c>
      <c r="AH38" s="1053">
        <v>5.5</v>
      </c>
      <c r="AI38" s="1053">
        <v>5</v>
      </c>
      <c r="AJ38" s="1053">
        <v>4.25</v>
      </c>
      <c r="AK38" s="1053">
        <v>5</v>
      </c>
      <c r="AL38" s="1053">
        <v>3.5</v>
      </c>
      <c r="AM38" s="1053">
        <v>3</v>
      </c>
      <c r="AN38" s="1053">
        <v>1.5</v>
      </c>
      <c r="AO38" s="1055">
        <v>2</v>
      </c>
      <c r="AP38" s="1056">
        <v>5.875</v>
      </c>
      <c r="AQ38" s="1057">
        <v>132.95</v>
      </c>
      <c r="AR38" s="1070">
        <v>1.6</v>
      </c>
    </row>
    <row r="39" spans="1:44" ht="20.25">
      <c r="A39" s="1059" t="s">
        <v>105</v>
      </c>
      <c r="B39" s="1051">
        <v>11.575</v>
      </c>
      <c r="C39" s="1052">
        <v>17.15</v>
      </c>
      <c r="D39" s="1052">
        <v>6</v>
      </c>
      <c r="E39" s="1053">
        <v>5</v>
      </c>
      <c r="F39" s="1053">
        <v>5</v>
      </c>
      <c r="G39" s="1053">
        <v>5</v>
      </c>
      <c r="H39" s="1053">
        <v>0</v>
      </c>
      <c r="I39" s="1053">
        <v>5</v>
      </c>
      <c r="J39" s="1053">
        <v>0</v>
      </c>
      <c r="K39" s="1053">
        <v>1</v>
      </c>
      <c r="L39" s="1053">
        <v>0</v>
      </c>
      <c r="M39" s="1053">
        <v>1</v>
      </c>
      <c r="N39" s="1053">
        <v>0</v>
      </c>
      <c r="O39" s="1053">
        <v>0</v>
      </c>
      <c r="P39" s="1053">
        <v>0</v>
      </c>
      <c r="Q39" s="1053">
        <v>0</v>
      </c>
      <c r="R39" s="1053">
        <v>6</v>
      </c>
      <c r="S39" s="1053">
        <v>0</v>
      </c>
      <c r="T39" s="1053">
        <v>0</v>
      </c>
      <c r="U39" s="1053">
        <v>0</v>
      </c>
      <c r="V39" s="1053">
        <v>0</v>
      </c>
      <c r="W39" s="1053">
        <v>0</v>
      </c>
      <c r="X39" s="1053">
        <v>6.75</v>
      </c>
      <c r="Y39" s="1053">
        <v>9.05</v>
      </c>
      <c r="Z39" s="1053">
        <v>7.5</v>
      </c>
      <c r="AA39" s="1053">
        <v>7.25</v>
      </c>
      <c r="AB39" s="1053">
        <v>7.75</v>
      </c>
      <c r="AC39" s="1053">
        <v>10</v>
      </c>
      <c r="AD39" s="1053">
        <v>6.75</v>
      </c>
      <c r="AE39" s="1053">
        <v>9</v>
      </c>
      <c r="AF39" s="1053">
        <v>6</v>
      </c>
      <c r="AG39" s="1053">
        <v>2</v>
      </c>
      <c r="AH39" s="1053">
        <v>5.5</v>
      </c>
      <c r="AI39" s="1053">
        <v>5</v>
      </c>
      <c r="AJ39" s="1053">
        <v>4.25</v>
      </c>
      <c r="AK39" s="1053">
        <v>5</v>
      </c>
      <c r="AL39" s="1053">
        <v>3.5</v>
      </c>
      <c r="AM39" s="1053">
        <v>3</v>
      </c>
      <c r="AN39" s="1053">
        <v>1.5</v>
      </c>
      <c r="AO39" s="1055">
        <v>10</v>
      </c>
      <c r="AP39" s="1056">
        <v>5.875</v>
      </c>
      <c r="AQ39" s="1057">
        <v>132.95</v>
      </c>
      <c r="AR39" s="1070">
        <v>7.8</v>
      </c>
    </row>
    <row r="40" spans="1:44" ht="20.25">
      <c r="A40" s="1059" t="s">
        <v>106</v>
      </c>
      <c r="B40" s="1051">
        <v>6.867156862745098</v>
      </c>
      <c r="C40" s="1052">
        <v>9.56764705882353</v>
      </c>
      <c r="D40" s="1052">
        <v>4.166666666666667</v>
      </c>
      <c r="E40" s="1053">
        <v>17</v>
      </c>
      <c r="F40" s="1053">
        <v>12</v>
      </c>
      <c r="G40" s="1053">
        <v>5</v>
      </c>
      <c r="H40" s="1053">
        <v>3</v>
      </c>
      <c r="I40" s="1053">
        <v>7</v>
      </c>
      <c r="J40" s="1053">
        <v>0</v>
      </c>
      <c r="K40" s="1053">
        <v>2</v>
      </c>
      <c r="L40" s="1053">
        <v>0</v>
      </c>
      <c r="M40" s="1053">
        <v>5</v>
      </c>
      <c r="N40" s="1053">
        <v>0</v>
      </c>
      <c r="O40" s="1053">
        <v>0</v>
      </c>
      <c r="P40" s="1053">
        <v>0</v>
      </c>
      <c r="Q40" s="1053">
        <v>0</v>
      </c>
      <c r="R40" s="1053">
        <v>10</v>
      </c>
      <c r="S40" s="1053">
        <v>0</v>
      </c>
      <c r="T40" s="1053">
        <v>0</v>
      </c>
      <c r="U40" s="1053">
        <v>0</v>
      </c>
      <c r="V40" s="1053">
        <v>0</v>
      </c>
      <c r="W40" s="1053">
        <v>0</v>
      </c>
      <c r="X40" s="1053">
        <v>6.75</v>
      </c>
      <c r="Y40" s="1053">
        <v>9.05</v>
      </c>
      <c r="Z40" s="1053">
        <v>7.5</v>
      </c>
      <c r="AA40" s="1053">
        <v>7.25</v>
      </c>
      <c r="AB40" s="1053">
        <v>7.75</v>
      </c>
      <c r="AC40" s="1053">
        <v>10</v>
      </c>
      <c r="AD40" s="1053">
        <v>6.75</v>
      </c>
      <c r="AE40" s="1053">
        <v>9</v>
      </c>
      <c r="AF40" s="1053">
        <v>6</v>
      </c>
      <c r="AG40" s="1053">
        <v>2</v>
      </c>
      <c r="AH40" s="1053">
        <v>5.5</v>
      </c>
      <c r="AI40" s="1053">
        <v>5</v>
      </c>
      <c r="AJ40" s="1053">
        <v>4.25</v>
      </c>
      <c r="AK40" s="1053">
        <v>5</v>
      </c>
      <c r="AL40" s="1053">
        <v>3.5</v>
      </c>
      <c r="AM40" s="1053">
        <v>3</v>
      </c>
      <c r="AN40" s="1053">
        <v>1.5</v>
      </c>
      <c r="AO40" s="1055">
        <v>29</v>
      </c>
      <c r="AP40" s="1056">
        <v>6</v>
      </c>
      <c r="AQ40" s="1057">
        <v>132.95</v>
      </c>
      <c r="AR40" s="1070">
        <v>23.2</v>
      </c>
    </row>
    <row r="41" spans="1:44" ht="20.25">
      <c r="A41" s="1059" t="s">
        <v>107</v>
      </c>
      <c r="B41" s="1051">
        <v>6.678125</v>
      </c>
      <c r="C41" s="1052">
        <v>8.35625</v>
      </c>
      <c r="D41" s="1052">
        <v>5</v>
      </c>
      <c r="E41" s="1053">
        <v>8</v>
      </c>
      <c r="F41" s="1053">
        <v>5</v>
      </c>
      <c r="G41" s="1053">
        <v>0</v>
      </c>
      <c r="H41" s="1053">
        <v>2</v>
      </c>
      <c r="I41" s="1053">
        <v>2</v>
      </c>
      <c r="J41" s="1053">
        <v>0</v>
      </c>
      <c r="K41" s="1053">
        <v>0</v>
      </c>
      <c r="L41" s="1053">
        <v>0</v>
      </c>
      <c r="M41" s="1053">
        <v>5</v>
      </c>
      <c r="N41" s="1053">
        <v>0</v>
      </c>
      <c r="O41" s="1053">
        <v>0</v>
      </c>
      <c r="P41" s="1053">
        <v>0</v>
      </c>
      <c r="Q41" s="1053">
        <v>0</v>
      </c>
      <c r="R41" s="1053">
        <v>5</v>
      </c>
      <c r="S41" s="1053">
        <v>0</v>
      </c>
      <c r="T41" s="1053">
        <v>0</v>
      </c>
      <c r="U41" s="1053">
        <v>0</v>
      </c>
      <c r="V41" s="1053">
        <v>0</v>
      </c>
      <c r="W41" s="1053">
        <v>0</v>
      </c>
      <c r="X41" s="1053">
        <v>6.75</v>
      </c>
      <c r="Y41" s="1053">
        <v>9.05</v>
      </c>
      <c r="Z41" s="1053">
        <v>7.5</v>
      </c>
      <c r="AA41" s="1053">
        <v>7.25</v>
      </c>
      <c r="AB41" s="1053">
        <v>7.75</v>
      </c>
      <c r="AC41" s="1053">
        <v>10</v>
      </c>
      <c r="AD41" s="1053">
        <v>6.75</v>
      </c>
      <c r="AE41" s="1053">
        <v>9</v>
      </c>
      <c r="AF41" s="1053">
        <v>6</v>
      </c>
      <c r="AG41" s="1053">
        <v>2</v>
      </c>
      <c r="AH41" s="1053">
        <v>5.5</v>
      </c>
      <c r="AI41" s="1053">
        <v>5</v>
      </c>
      <c r="AJ41" s="1053">
        <v>4.25</v>
      </c>
      <c r="AK41" s="1053">
        <v>5</v>
      </c>
      <c r="AL41" s="1053">
        <v>3.5</v>
      </c>
      <c r="AM41" s="1053">
        <v>3</v>
      </c>
      <c r="AN41" s="1053">
        <v>1.5</v>
      </c>
      <c r="AO41" s="1055">
        <v>13</v>
      </c>
      <c r="AP41" s="1056">
        <v>6.1125</v>
      </c>
      <c r="AQ41" s="1057">
        <v>132.95</v>
      </c>
      <c r="AR41" s="1070">
        <v>10.6</v>
      </c>
    </row>
    <row r="42" spans="1:44" ht="20.25">
      <c r="A42" s="1059" t="s">
        <v>108</v>
      </c>
      <c r="B42" s="1051">
        <v>6.848039215686274</v>
      </c>
      <c r="C42" s="1052">
        <v>8.279411764705882</v>
      </c>
      <c r="D42" s="1052">
        <v>5.416666666666667</v>
      </c>
      <c r="E42" s="1053">
        <v>17</v>
      </c>
      <c r="F42" s="1053">
        <v>12</v>
      </c>
      <c r="G42" s="1053">
        <v>6</v>
      </c>
      <c r="H42" s="1053">
        <v>5</v>
      </c>
      <c r="I42" s="1053">
        <v>0</v>
      </c>
      <c r="J42" s="1053">
        <v>0</v>
      </c>
      <c r="K42" s="1053">
        <v>1</v>
      </c>
      <c r="L42" s="1053">
        <v>0</v>
      </c>
      <c r="M42" s="1053">
        <v>7</v>
      </c>
      <c r="N42" s="1053">
        <v>0</v>
      </c>
      <c r="O42" s="1053">
        <v>0</v>
      </c>
      <c r="P42" s="1053">
        <v>0</v>
      </c>
      <c r="Q42" s="1053">
        <v>0</v>
      </c>
      <c r="R42" s="1053">
        <v>13</v>
      </c>
      <c r="S42" s="1053">
        <v>0</v>
      </c>
      <c r="T42" s="1053">
        <v>0</v>
      </c>
      <c r="U42" s="1053">
        <v>0</v>
      </c>
      <c r="V42" s="1053">
        <v>0</v>
      </c>
      <c r="W42" s="1053">
        <v>0</v>
      </c>
      <c r="X42" s="1053">
        <v>6.75</v>
      </c>
      <c r="Y42" s="1053">
        <v>9.05</v>
      </c>
      <c r="Z42" s="1053">
        <v>7.5</v>
      </c>
      <c r="AA42" s="1053">
        <v>7.25</v>
      </c>
      <c r="AB42" s="1053">
        <v>7.75</v>
      </c>
      <c r="AC42" s="1053">
        <v>10</v>
      </c>
      <c r="AD42" s="1053">
        <v>6.75</v>
      </c>
      <c r="AE42" s="1053">
        <v>9</v>
      </c>
      <c r="AF42" s="1053">
        <v>6</v>
      </c>
      <c r="AG42" s="1053">
        <v>2</v>
      </c>
      <c r="AH42" s="1053">
        <v>5.5</v>
      </c>
      <c r="AI42" s="1053">
        <v>5</v>
      </c>
      <c r="AJ42" s="1053">
        <v>4.25</v>
      </c>
      <c r="AK42" s="1053">
        <v>5</v>
      </c>
      <c r="AL42" s="1053">
        <v>3.5</v>
      </c>
      <c r="AM42" s="1053">
        <v>3</v>
      </c>
      <c r="AN42" s="1053">
        <v>1.5</v>
      </c>
      <c r="AO42" s="1055">
        <v>29</v>
      </c>
      <c r="AP42" s="1056">
        <v>6.083823529411765</v>
      </c>
      <c r="AQ42" s="1057">
        <v>132.95</v>
      </c>
      <c r="AR42" s="1070">
        <v>23.6</v>
      </c>
    </row>
    <row r="43" spans="1:44" ht="20.25">
      <c r="A43" s="1059" t="s">
        <v>109</v>
      </c>
      <c r="B43" s="1051">
        <v>6.963888888888889</v>
      </c>
      <c r="C43" s="1052">
        <v>8.094444444444443</v>
      </c>
      <c r="D43" s="1052">
        <v>5.833333333333333</v>
      </c>
      <c r="E43" s="1053">
        <v>9</v>
      </c>
      <c r="F43" s="1053">
        <v>6</v>
      </c>
      <c r="G43" s="1053">
        <v>0</v>
      </c>
      <c r="H43" s="1053">
        <v>2</v>
      </c>
      <c r="I43" s="1053">
        <v>1</v>
      </c>
      <c r="J43" s="1053">
        <v>0</v>
      </c>
      <c r="K43" s="1053">
        <v>0</v>
      </c>
      <c r="L43" s="1053">
        <v>0</v>
      </c>
      <c r="M43" s="1053">
        <v>7</v>
      </c>
      <c r="N43" s="1053">
        <v>0</v>
      </c>
      <c r="O43" s="1053">
        <v>0</v>
      </c>
      <c r="P43" s="1053">
        <v>0</v>
      </c>
      <c r="Q43" s="1053">
        <v>0</v>
      </c>
      <c r="R43" s="1053">
        <v>7</v>
      </c>
      <c r="S43" s="1053">
        <v>0</v>
      </c>
      <c r="T43" s="1053">
        <v>0</v>
      </c>
      <c r="U43" s="1053">
        <v>0</v>
      </c>
      <c r="V43" s="1053">
        <v>0</v>
      </c>
      <c r="W43" s="1053">
        <v>0</v>
      </c>
      <c r="X43" s="1053">
        <v>6.75</v>
      </c>
      <c r="Y43" s="1053">
        <v>9.05</v>
      </c>
      <c r="Z43" s="1053">
        <v>7.5</v>
      </c>
      <c r="AA43" s="1053">
        <v>7.25</v>
      </c>
      <c r="AB43" s="1053">
        <v>7.75</v>
      </c>
      <c r="AC43" s="1053">
        <v>10</v>
      </c>
      <c r="AD43" s="1053">
        <v>6.75</v>
      </c>
      <c r="AE43" s="1053">
        <v>9</v>
      </c>
      <c r="AF43" s="1053">
        <v>6</v>
      </c>
      <c r="AG43" s="1053">
        <v>2</v>
      </c>
      <c r="AH43" s="1053">
        <v>5.5</v>
      </c>
      <c r="AI43" s="1053">
        <v>5</v>
      </c>
      <c r="AJ43" s="1053">
        <v>4.25</v>
      </c>
      <c r="AK43" s="1053">
        <v>5</v>
      </c>
      <c r="AL43" s="1053">
        <v>3.5</v>
      </c>
      <c r="AM43" s="1053">
        <v>3</v>
      </c>
      <c r="AN43" s="1053">
        <v>1.5</v>
      </c>
      <c r="AO43" s="1055">
        <v>15</v>
      </c>
      <c r="AP43" s="1056">
        <v>6.186111111111111</v>
      </c>
      <c r="AQ43" s="1057">
        <v>132.95</v>
      </c>
      <c r="AR43" s="1070">
        <v>12.4</v>
      </c>
    </row>
    <row r="44" spans="1:44" ht="20.25">
      <c r="A44" s="1059" t="s">
        <v>110</v>
      </c>
      <c r="B44" s="1051">
        <v>2.9375</v>
      </c>
      <c r="C44" s="1052">
        <v>3.375</v>
      </c>
      <c r="D44" s="1052">
        <v>2.5</v>
      </c>
      <c r="E44" s="1053">
        <v>2</v>
      </c>
      <c r="F44" s="1053">
        <v>2</v>
      </c>
      <c r="G44" s="1053">
        <v>0</v>
      </c>
      <c r="H44" s="1053">
        <v>0</v>
      </c>
      <c r="I44" s="1053">
        <v>0</v>
      </c>
      <c r="J44" s="1053">
        <v>0</v>
      </c>
      <c r="K44" s="1053">
        <v>0</v>
      </c>
      <c r="L44" s="1053">
        <v>0</v>
      </c>
      <c r="M44" s="1053">
        <v>1</v>
      </c>
      <c r="N44" s="1053">
        <v>0</v>
      </c>
      <c r="O44" s="1053">
        <v>0</v>
      </c>
      <c r="P44" s="1053">
        <v>0</v>
      </c>
      <c r="Q44" s="1053">
        <v>0</v>
      </c>
      <c r="R44" s="1053">
        <v>1</v>
      </c>
      <c r="S44" s="1053">
        <v>0</v>
      </c>
      <c r="T44" s="1053">
        <v>0</v>
      </c>
      <c r="U44" s="1053">
        <v>0</v>
      </c>
      <c r="V44" s="1053">
        <v>0</v>
      </c>
      <c r="W44" s="1053">
        <v>0</v>
      </c>
      <c r="X44" s="1053">
        <v>6.75</v>
      </c>
      <c r="Y44" s="1053">
        <v>9.05</v>
      </c>
      <c r="Z44" s="1053">
        <v>7.5</v>
      </c>
      <c r="AA44" s="1053">
        <v>7.25</v>
      </c>
      <c r="AB44" s="1053">
        <v>7.75</v>
      </c>
      <c r="AC44" s="1053">
        <v>10</v>
      </c>
      <c r="AD44" s="1053">
        <v>6.75</v>
      </c>
      <c r="AE44" s="1053">
        <v>9</v>
      </c>
      <c r="AF44" s="1053">
        <v>6</v>
      </c>
      <c r="AG44" s="1053">
        <v>2</v>
      </c>
      <c r="AH44" s="1053">
        <v>5.5</v>
      </c>
      <c r="AI44" s="1053">
        <v>5</v>
      </c>
      <c r="AJ44" s="1053">
        <v>4.25</v>
      </c>
      <c r="AK44" s="1053">
        <v>5</v>
      </c>
      <c r="AL44" s="1053">
        <v>3.5</v>
      </c>
      <c r="AM44" s="1053">
        <v>3</v>
      </c>
      <c r="AN44" s="1053">
        <v>1.5</v>
      </c>
      <c r="AO44" s="1055">
        <v>4</v>
      </c>
      <c r="AP44" s="1056">
        <v>5.875</v>
      </c>
      <c r="AQ44" s="1057">
        <v>132.95</v>
      </c>
      <c r="AR44" s="1070">
        <v>3.1</v>
      </c>
    </row>
    <row r="45" spans="1:44" ht="40.5">
      <c r="A45" s="1060" t="s">
        <v>484</v>
      </c>
      <c r="B45" s="1051">
        <v>7.4945703825039125</v>
      </c>
      <c r="C45" s="1051">
        <v>8.278923766816144</v>
      </c>
      <c r="D45" s="1051">
        <v>6.710216998191682</v>
      </c>
      <c r="E45" s="1076">
        <v>223</v>
      </c>
      <c r="F45" s="1076">
        <v>553</v>
      </c>
      <c r="G45" s="1076">
        <v>58</v>
      </c>
      <c r="H45" s="1076">
        <v>49</v>
      </c>
      <c r="I45" s="1076">
        <v>35</v>
      </c>
      <c r="J45" s="1076">
        <v>1</v>
      </c>
      <c r="K45" s="1076">
        <v>17</v>
      </c>
      <c r="L45" s="1076">
        <v>9</v>
      </c>
      <c r="M45" s="1076">
        <v>77</v>
      </c>
      <c r="N45" s="1076">
        <v>42</v>
      </c>
      <c r="O45" s="1076">
        <v>35</v>
      </c>
      <c r="P45" s="1076">
        <v>0</v>
      </c>
      <c r="Q45" s="1076">
        <v>153</v>
      </c>
      <c r="R45" s="1076">
        <v>386</v>
      </c>
      <c r="S45" s="1076">
        <v>21</v>
      </c>
      <c r="T45" s="1076">
        <v>23</v>
      </c>
      <c r="U45" s="1076">
        <v>0</v>
      </c>
      <c r="V45" s="1076">
        <v>0</v>
      </c>
      <c r="W45" s="1076">
        <v>98</v>
      </c>
      <c r="X45" s="1076">
        <v>6.75</v>
      </c>
      <c r="Y45" s="1076">
        <v>9.05</v>
      </c>
      <c r="Z45" s="1076">
        <v>7.5</v>
      </c>
      <c r="AA45" s="1076">
        <v>7.25</v>
      </c>
      <c r="AB45" s="1076">
        <v>7.75</v>
      </c>
      <c r="AC45" s="1076">
        <v>10</v>
      </c>
      <c r="AD45" s="1076">
        <v>6.75</v>
      </c>
      <c r="AE45" s="1076">
        <v>9</v>
      </c>
      <c r="AF45" s="1076">
        <v>6</v>
      </c>
      <c r="AG45" s="1076">
        <v>2</v>
      </c>
      <c r="AH45" s="1076">
        <v>5.5</v>
      </c>
      <c r="AI45" s="1076">
        <v>5</v>
      </c>
      <c r="AJ45" s="1076">
        <v>4.25</v>
      </c>
      <c r="AK45" s="1076">
        <v>5</v>
      </c>
      <c r="AL45" s="1076">
        <v>3.5</v>
      </c>
      <c r="AM45" s="1076">
        <v>3</v>
      </c>
      <c r="AN45" s="1076">
        <v>1.5</v>
      </c>
      <c r="AO45" s="1075">
        <v>776</v>
      </c>
      <c r="AP45" s="1077">
        <v>6.053630624640161</v>
      </c>
      <c r="AQ45" s="1074">
        <v>132.95</v>
      </c>
      <c r="AR45" s="1058">
        <v>627.6</v>
      </c>
    </row>
    <row r="46" spans="1:44" ht="40.5">
      <c r="A46" s="1060" t="s">
        <v>111</v>
      </c>
      <c r="B46" s="1051">
        <v>7.454307036247335</v>
      </c>
      <c r="C46" s="1051">
        <v>7.9843283582089555</v>
      </c>
      <c r="D46" s="1051">
        <v>6.924285714285714</v>
      </c>
      <c r="E46" s="1076">
        <v>134</v>
      </c>
      <c r="F46" s="1076">
        <v>350</v>
      </c>
      <c r="G46" s="1076">
        <v>45</v>
      </c>
      <c r="H46" s="1076">
        <v>23</v>
      </c>
      <c r="I46" s="1076">
        <v>8</v>
      </c>
      <c r="J46" s="1076">
        <v>3</v>
      </c>
      <c r="K46" s="1076">
        <v>14</v>
      </c>
      <c r="L46" s="1076">
        <v>1</v>
      </c>
      <c r="M46" s="1076">
        <v>53</v>
      </c>
      <c r="N46" s="1076">
        <v>12</v>
      </c>
      <c r="O46" s="1076">
        <v>18</v>
      </c>
      <c r="P46" s="1076">
        <v>0</v>
      </c>
      <c r="Q46" s="1076">
        <v>119</v>
      </c>
      <c r="R46" s="1076">
        <v>289</v>
      </c>
      <c r="S46" s="1076">
        <v>0</v>
      </c>
      <c r="T46" s="1076">
        <v>3</v>
      </c>
      <c r="U46" s="1076">
        <v>0</v>
      </c>
      <c r="V46" s="1076">
        <v>0</v>
      </c>
      <c r="W46" s="1076">
        <v>62</v>
      </c>
      <c r="X46" s="1076">
        <v>6.75</v>
      </c>
      <c r="Y46" s="1076">
        <v>9.05</v>
      </c>
      <c r="Z46" s="1076">
        <v>7.5</v>
      </c>
      <c r="AA46" s="1076">
        <v>7.25</v>
      </c>
      <c r="AB46" s="1076">
        <v>7.75</v>
      </c>
      <c r="AC46" s="1076">
        <v>10</v>
      </c>
      <c r="AD46" s="1076">
        <v>6.75</v>
      </c>
      <c r="AE46" s="1076">
        <v>9</v>
      </c>
      <c r="AF46" s="1076">
        <v>6</v>
      </c>
      <c r="AG46" s="1076">
        <v>2</v>
      </c>
      <c r="AH46" s="1076">
        <v>5.5</v>
      </c>
      <c r="AI46" s="1076">
        <v>5</v>
      </c>
      <c r="AJ46" s="1076">
        <v>4.25</v>
      </c>
      <c r="AK46" s="1076">
        <v>5</v>
      </c>
      <c r="AL46" s="1076">
        <v>3.5</v>
      </c>
      <c r="AM46" s="1076">
        <v>3</v>
      </c>
      <c r="AN46" s="1076">
        <v>1.5</v>
      </c>
      <c r="AO46" s="1075">
        <v>484</v>
      </c>
      <c r="AP46" s="1077">
        <v>6.271236673773988</v>
      </c>
      <c r="AQ46" s="1074">
        <v>132.95</v>
      </c>
      <c r="AR46" s="1058">
        <v>405.5</v>
      </c>
    </row>
    <row r="47" spans="1:44" ht="20.25">
      <c r="A47" s="1050" t="s">
        <v>485</v>
      </c>
      <c r="B47" s="1051">
        <v>6.869207430422774</v>
      </c>
      <c r="C47" s="1051">
        <v>8.628472222222221</v>
      </c>
      <c r="D47" s="1051">
        <v>5.109942638623327</v>
      </c>
      <c r="E47" s="1076">
        <v>144</v>
      </c>
      <c r="F47" s="1076">
        <v>523</v>
      </c>
      <c r="G47" s="1076">
        <v>32</v>
      </c>
      <c r="H47" s="1076">
        <v>25</v>
      </c>
      <c r="I47" s="1076">
        <v>23</v>
      </c>
      <c r="J47" s="1076">
        <v>0</v>
      </c>
      <c r="K47" s="1076">
        <v>14</v>
      </c>
      <c r="L47" s="1076">
        <v>4</v>
      </c>
      <c r="M47" s="1076">
        <v>71</v>
      </c>
      <c r="N47" s="1076">
        <v>23</v>
      </c>
      <c r="O47" s="1076">
        <v>31</v>
      </c>
      <c r="P47" s="1076">
        <v>0</v>
      </c>
      <c r="Q47" s="1076">
        <v>118</v>
      </c>
      <c r="R47" s="1076">
        <v>280</v>
      </c>
      <c r="S47" s="1076">
        <v>20</v>
      </c>
      <c r="T47" s="1076">
        <v>12</v>
      </c>
      <c r="U47" s="1076">
        <v>0</v>
      </c>
      <c r="V47" s="1076">
        <v>0</v>
      </c>
      <c r="W47" s="1076">
        <v>57</v>
      </c>
      <c r="X47" s="1076">
        <v>6.75</v>
      </c>
      <c r="Y47" s="1076">
        <v>9.05</v>
      </c>
      <c r="Z47" s="1076">
        <v>7.5</v>
      </c>
      <c r="AA47" s="1076">
        <v>7.25</v>
      </c>
      <c r="AB47" s="1076">
        <v>7.75</v>
      </c>
      <c r="AC47" s="1076">
        <v>10</v>
      </c>
      <c r="AD47" s="1076">
        <v>6.75</v>
      </c>
      <c r="AE47" s="1076">
        <v>9</v>
      </c>
      <c r="AF47" s="1076">
        <v>6</v>
      </c>
      <c r="AG47" s="1076">
        <v>2</v>
      </c>
      <c r="AH47" s="1076">
        <v>5.5</v>
      </c>
      <c r="AI47" s="1076">
        <v>5</v>
      </c>
      <c r="AJ47" s="1076">
        <v>4.25</v>
      </c>
      <c r="AK47" s="1076">
        <v>5</v>
      </c>
      <c r="AL47" s="1076">
        <v>3.5</v>
      </c>
      <c r="AM47" s="1076">
        <v>3</v>
      </c>
      <c r="AN47" s="1076">
        <v>1.5</v>
      </c>
      <c r="AO47" s="1075">
        <v>667</v>
      </c>
      <c r="AP47" s="1077">
        <v>6.140379023263225</v>
      </c>
      <c r="AQ47" s="1074">
        <v>132.95</v>
      </c>
      <c r="AR47" s="1058">
        <v>547.2</v>
      </c>
    </row>
    <row r="48" spans="1:44" ht="20.25">
      <c r="A48" s="1050" t="s">
        <v>112</v>
      </c>
      <c r="B48" s="1051">
        <v>6.855308533274635</v>
      </c>
      <c r="C48" s="1051">
        <v>7.569491525423729</v>
      </c>
      <c r="D48" s="1051">
        <v>6.141125541125541</v>
      </c>
      <c r="E48" s="1076">
        <v>295</v>
      </c>
      <c r="F48" s="1076">
        <v>1155</v>
      </c>
      <c r="G48" s="1076">
        <v>58</v>
      </c>
      <c r="H48" s="1076">
        <v>50</v>
      </c>
      <c r="I48" s="1076">
        <v>49</v>
      </c>
      <c r="J48" s="1076">
        <v>0</v>
      </c>
      <c r="K48" s="1076">
        <v>20</v>
      </c>
      <c r="L48" s="1076">
        <v>7</v>
      </c>
      <c r="M48" s="1076">
        <v>118</v>
      </c>
      <c r="N48" s="1076">
        <v>58</v>
      </c>
      <c r="O48" s="1076">
        <v>85</v>
      </c>
      <c r="P48" s="1076">
        <v>0</v>
      </c>
      <c r="Q48" s="1076">
        <v>398</v>
      </c>
      <c r="R48" s="1076">
        <v>692</v>
      </c>
      <c r="S48" s="1076">
        <v>22</v>
      </c>
      <c r="T48" s="1076">
        <v>28</v>
      </c>
      <c r="U48" s="1076">
        <v>0</v>
      </c>
      <c r="V48" s="1076">
        <v>0</v>
      </c>
      <c r="W48" s="1076">
        <v>119</v>
      </c>
      <c r="X48" s="1076">
        <v>6.75</v>
      </c>
      <c r="Y48" s="1076">
        <v>9.05</v>
      </c>
      <c r="Z48" s="1076">
        <v>7.5</v>
      </c>
      <c r="AA48" s="1076">
        <v>7.25</v>
      </c>
      <c r="AB48" s="1076">
        <v>7.75</v>
      </c>
      <c r="AC48" s="1076">
        <v>10</v>
      </c>
      <c r="AD48" s="1076">
        <v>6.75</v>
      </c>
      <c r="AE48" s="1076">
        <v>9</v>
      </c>
      <c r="AF48" s="1076">
        <v>6</v>
      </c>
      <c r="AG48" s="1076">
        <v>2</v>
      </c>
      <c r="AH48" s="1076">
        <v>5.5</v>
      </c>
      <c r="AI48" s="1076">
        <v>5</v>
      </c>
      <c r="AJ48" s="1076">
        <v>4.25</v>
      </c>
      <c r="AK48" s="1076">
        <v>5</v>
      </c>
      <c r="AL48" s="1076">
        <v>3.5</v>
      </c>
      <c r="AM48" s="1076">
        <v>3</v>
      </c>
      <c r="AN48" s="1076">
        <v>1.5</v>
      </c>
      <c r="AO48" s="1075">
        <v>1450</v>
      </c>
      <c r="AP48" s="1077">
        <v>6.197049673490351</v>
      </c>
      <c r="AQ48" s="1074">
        <v>132.95</v>
      </c>
      <c r="AR48" s="1058">
        <v>1200.5</v>
      </c>
    </row>
    <row r="49" spans="1:44" ht="20.25">
      <c r="A49" s="1059" t="s">
        <v>113</v>
      </c>
      <c r="B49" s="1051">
        <v>10.150524475524476</v>
      </c>
      <c r="C49" s="1052">
        <v>12.11923076923077</v>
      </c>
      <c r="D49" s="1052">
        <v>8.181818181818182</v>
      </c>
      <c r="E49" s="1053">
        <v>65</v>
      </c>
      <c r="F49" s="1053">
        <v>33</v>
      </c>
      <c r="G49" s="1053">
        <v>32</v>
      </c>
      <c r="H49" s="1053">
        <v>25</v>
      </c>
      <c r="I49" s="1053">
        <v>18</v>
      </c>
      <c r="J49" s="1053">
        <v>0</v>
      </c>
      <c r="K49" s="1053">
        <v>8</v>
      </c>
      <c r="L49" s="1053">
        <v>0</v>
      </c>
      <c r="M49" s="1053">
        <v>22</v>
      </c>
      <c r="N49" s="1053">
        <v>0</v>
      </c>
      <c r="O49" s="1053">
        <v>0</v>
      </c>
      <c r="P49" s="1053">
        <v>0</v>
      </c>
      <c r="Q49" s="1053">
        <v>0</v>
      </c>
      <c r="R49" s="1053">
        <v>54</v>
      </c>
      <c r="S49" s="1053">
        <v>0</v>
      </c>
      <c r="T49" s="1053">
        <v>0</v>
      </c>
      <c r="U49" s="1053">
        <v>0</v>
      </c>
      <c r="V49" s="1053">
        <v>0</v>
      </c>
      <c r="W49" s="1053">
        <v>0</v>
      </c>
      <c r="X49" s="1053">
        <v>6.75</v>
      </c>
      <c r="Y49" s="1053">
        <v>9.05</v>
      </c>
      <c r="Z49" s="1053">
        <v>7.5</v>
      </c>
      <c r="AA49" s="1053">
        <v>7.25</v>
      </c>
      <c r="AB49" s="1053">
        <v>7.75</v>
      </c>
      <c r="AC49" s="1053">
        <v>10</v>
      </c>
      <c r="AD49" s="1053">
        <v>6.75</v>
      </c>
      <c r="AE49" s="1053">
        <v>9</v>
      </c>
      <c r="AF49" s="1053">
        <v>6</v>
      </c>
      <c r="AG49" s="1053">
        <v>2</v>
      </c>
      <c r="AH49" s="1053">
        <v>5.5</v>
      </c>
      <c r="AI49" s="1053">
        <v>5</v>
      </c>
      <c r="AJ49" s="1053">
        <v>4.25</v>
      </c>
      <c r="AK49" s="1053">
        <v>5</v>
      </c>
      <c r="AL49" s="1053">
        <v>3.5</v>
      </c>
      <c r="AM49" s="1053">
        <v>3</v>
      </c>
      <c r="AN49" s="1053">
        <v>1.5</v>
      </c>
      <c r="AO49" s="1055">
        <v>98</v>
      </c>
      <c r="AP49" s="1056">
        <v>6.194230769230769</v>
      </c>
      <c r="AQ49" s="1057">
        <v>132.95</v>
      </c>
      <c r="AR49" s="1070">
        <v>81.1</v>
      </c>
    </row>
    <row r="50" spans="1:44" ht="20.25">
      <c r="A50" s="1059" t="s">
        <v>114</v>
      </c>
      <c r="B50" s="1051">
        <v>4.124188640973631</v>
      </c>
      <c r="C50" s="1052">
        <v>4.718965517241379</v>
      </c>
      <c r="D50" s="1052">
        <v>3.5294117647058822</v>
      </c>
      <c r="E50" s="1053">
        <v>29</v>
      </c>
      <c r="F50" s="1053">
        <v>17</v>
      </c>
      <c r="G50" s="1053">
        <v>7</v>
      </c>
      <c r="H50" s="1053">
        <v>2</v>
      </c>
      <c r="I50" s="1053">
        <v>4</v>
      </c>
      <c r="J50" s="1053">
        <v>0</v>
      </c>
      <c r="K50" s="1053">
        <v>1</v>
      </c>
      <c r="L50" s="1053">
        <v>0</v>
      </c>
      <c r="M50" s="1053">
        <v>5</v>
      </c>
      <c r="N50" s="1053">
        <v>0</v>
      </c>
      <c r="O50" s="1053">
        <v>0</v>
      </c>
      <c r="P50" s="1053">
        <v>0</v>
      </c>
      <c r="Q50" s="1053">
        <v>0</v>
      </c>
      <c r="R50" s="1053">
        <v>12</v>
      </c>
      <c r="S50" s="1053">
        <v>0</v>
      </c>
      <c r="T50" s="1053">
        <v>0</v>
      </c>
      <c r="U50" s="1053">
        <v>0</v>
      </c>
      <c r="V50" s="1053">
        <v>0</v>
      </c>
      <c r="W50" s="1053">
        <v>0</v>
      </c>
      <c r="X50" s="1053">
        <v>6.75</v>
      </c>
      <c r="Y50" s="1053">
        <v>9.05</v>
      </c>
      <c r="Z50" s="1053">
        <v>7.5</v>
      </c>
      <c r="AA50" s="1053">
        <v>7.25</v>
      </c>
      <c r="AB50" s="1053">
        <v>7.75</v>
      </c>
      <c r="AC50" s="1053">
        <v>10</v>
      </c>
      <c r="AD50" s="1053">
        <v>6.75</v>
      </c>
      <c r="AE50" s="1053">
        <v>9</v>
      </c>
      <c r="AF50" s="1053">
        <v>6</v>
      </c>
      <c r="AG50" s="1053">
        <v>2</v>
      </c>
      <c r="AH50" s="1053">
        <v>5.5</v>
      </c>
      <c r="AI50" s="1053">
        <v>5</v>
      </c>
      <c r="AJ50" s="1053">
        <v>4.25</v>
      </c>
      <c r="AK50" s="1053">
        <v>5</v>
      </c>
      <c r="AL50" s="1053">
        <v>3.5</v>
      </c>
      <c r="AM50" s="1053">
        <v>3</v>
      </c>
      <c r="AN50" s="1053">
        <v>1.5</v>
      </c>
      <c r="AO50" s="1055">
        <v>46</v>
      </c>
      <c r="AP50" s="1056">
        <v>6.15</v>
      </c>
      <c r="AQ50" s="1057">
        <v>132.95</v>
      </c>
      <c r="AR50" s="1070">
        <v>37.8</v>
      </c>
    </row>
    <row r="51" spans="1:44" ht="20.25">
      <c r="A51" s="1050" t="s">
        <v>115</v>
      </c>
      <c r="B51" s="1051">
        <v>6.988967935050025</v>
      </c>
      <c r="C51" s="1051">
        <v>9.76978021978022</v>
      </c>
      <c r="D51" s="1051">
        <v>4.20815565031983</v>
      </c>
      <c r="E51" s="1051">
        <v>182</v>
      </c>
      <c r="F51" s="1074">
        <v>938</v>
      </c>
      <c r="G51" s="1074">
        <v>51</v>
      </c>
      <c r="H51" s="1074">
        <v>32</v>
      </c>
      <c r="I51" s="1074">
        <v>42</v>
      </c>
      <c r="J51" s="1074">
        <v>2</v>
      </c>
      <c r="K51" s="1074">
        <v>22</v>
      </c>
      <c r="L51" s="1074">
        <v>3</v>
      </c>
      <c r="M51" s="1074">
        <v>91</v>
      </c>
      <c r="N51" s="1074">
        <v>19</v>
      </c>
      <c r="O51" s="1074">
        <v>7</v>
      </c>
      <c r="P51" s="1074">
        <v>0</v>
      </c>
      <c r="Q51" s="1074">
        <v>253</v>
      </c>
      <c r="R51" s="1074">
        <v>389</v>
      </c>
      <c r="S51" s="1074">
        <v>19</v>
      </c>
      <c r="T51" s="1074">
        <v>25</v>
      </c>
      <c r="U51" s="1074">
        <v>0</v>
      </c>
      <c r="V51" s="1074">
        <v>0</v>
      </c>
      <c r="W51" s="1074">
        <v>128</v>
      </c>
      <c r="X51" s="1074">
        <v>6.75</v>
      </c>
      <c r="Y51" s="1074">
        <v>9.05</v>
      </c>
      <c r="Z51" s="1074">
        <v>7.5</v>
      </c>
      <c r="AA51" s="1074">
        <v>7.25</v>
      </c>
      <c r="AB51" s="1074">
        <v>7.75</v>
      </c>
      <c r="AC51" s="1074">
        <v>10</v>
      </c>
      <c r="AD51" s="1074">
        <v>6.75</v>
      </c>
      <c r="AE51" s="1074">
        <v>9</v>
      </c>
      <c r="AF51" s="1074">
        <v>6</v>
      </c>
      <c r="AG51" s="1074">
        <v>2</v>
      </c>
      <c r="AH51" s="1074">
        <v>5.5</v>
      </c>
      <c r="AI51" s="1074">
        <v>5</v>
      </c>
      <c r="AJ51" s="1074">
        <v>4.25</v>
      </c>
      <c r="AK51" s="1074">
        <v>5</v>
      </c>
      <c r="AL51" s="1074">
        <v>3.5</v>
      </c>
      <c r="AM51" s="1074">
        <v>3</v>
      </c>
      <c r="AN51" s="1074">
        <v>1.5</v>
      </c>
      <c r="AO51" s="1074">
        <v>1120</v>
      </c>
      <c r="AP51" s="1075">
        <v>6.0635824995899625</v>
      </c>
      <c r="AQ51" s="1074">
        <v>132.95</v>
      </c>
      <c r="AR51" s="1062">
        <v>907.3</v>
      </c>
    </row>
    <row r="52" spans="1:44" ht="20.25">
      <c r="A52" s="1059" t="s">
        <v>116</v>
      </c>
      <c r="B52" s="1059">
        <v>13.496666666666666</v>
      </c>
      <c r="C52" s="1059">
        <v>18.993333333333332</v>
      </c>
      <c r="D52" s="1059">
        <v>8</v>
      </c>
      <c r="E52" s="1053">
        <v>15</v>
      </c>
      <c r="F52" s="1053">
        <v>5</v>
      </c>
      <c r="G52" s="1053">
        <v>5</v>
      </c>
      <c r="H52" s="1053">
        <v>18</v>
      </c>
      <c r="I52" s="1053">
        <v>7</v>
      </c>
      <c r="J52" s="1053">
        <v>0</v>
      </c>
      <c r="K52" s="1053">
        <v>2</v>
      </c>
      <c r="L52" s="1053">
        <v>0</v>
      </c>
      <c r="M52" s="1053">
        <v>3</v>
      </c>
      <c r="N52" s="1053">
        <v>0</v>
      </c>
      <c r="O52" s="1053">
        <v>0</v>
      </c>
      <c r="P52" s="1053">
        <v>0</v>
      </c>
      <c r="Q52" s="1053">
        <v>0</v>
      </c>
      <c r="R52" s="1053">
        <v>8</v>
      </c>
      <c r="S52" s="1053">
        <v>0</v>
      </c>
      <c r="T52" s="1053">
        <v>0</v>
      </c>
      <c r="U52" s="1053">
        <v>0</v>
      </c>
      <c r="V52" s="1053">
        <v>0</v>
      </c>
      <c r="W52" s="1053">
        <v>0</v>
      </c>
      <c r="X52" s="1053">
        <v>6.75</v>
      </c>
      <c r="Y52" s="1053">
        <v>9.05</v>
      </c>
      <c r="Z52" s="1053">
        <v>7.5</v>
      </c>
      <c r="AA52" s="1053">
        <v>7.25</v>
      </c>
      <c r="AB52" s="1053">
        <v>7.75</v>
      </c>
      <c r="AC52" s="1053">
        <v>10</v>
      </c>
      <c r="AD52" s="1053">
        <v>6.75</v>
      </c>
      <c r="AE52" s="1053">
        <v>9</v>
      </c>
      <c r="AF52" s="1053">
        <v>6</v>
      </c>
      <c r="AG52" s="1053">
        <v>2</v>
      </c>
      <c r="AH52" s="1053">
        <v>5.5</v>
      </c>
      <c r="AI52" s="1053">
        <v>5</v>
      </c>
      <c r="AJ52" s="1053">
        <v>4.25</v>
      </c>
      <c r="AK52" s="1053">
        <v>5</v>
      </c>
      <c r="AL52" s="1053">
        <v>3.5</v>
      </c>
      <c r="AM52" s="1053">
        <v>3</v>
      </c>
      <c r="AN52" s="1053">
        <v>1.5</v>
      </c>
      <c r="AO52" s="1053">
        <v>20</v>
      </c>
      <c r="AP52" s="1055">
        <v>6.288333333333334</v>
      </c>
      <c r="AQ52" s="1057">
        <v>132.95</v>
      </c>
      <c r="AR52" s="1053">
        <v>16.8</v>
      </c>
    </row>
    <row r="53" spans="1:44" ht="20.25">
      <c r="A53" s="1059" t="s">
        <v>117</v>
      </c>
      <c r="B53" s="1059">
        <v>5.133333333333333</v>
      </c>
      <c r="C53" s="1059">
        <v>5.266666666666667</v>
      </c>
      <c r="D53" s="1059">
        <v>5</v>
      </c>
      <c r="E53" s="1053">
        <v>3</v>
      </c>
      <c r="F53" s="1053">
        <v>1</v>
      </c>
      <c r="G53" s="1053">
        <v>0</v>
      </c>
      <c r="H53" s="1053">
        <v>1</v>
      </c>
      <c r="I53" s="1053">
        <v>0</v>
      </c>
      <c r="J53" s="1053">
        <v>0</v>
      </c>
      <c r="K53" s="1053">
        <v>0</v>
      </c>
      <c r="L53" s="1053">
        <v>0</v>
      </c>
      <c r="M53" s="1053">
        <v>1</v>
      </c>
      <c r="N53" s="1053">
        <v>0</v>
      </c>
      <c r="O53" s="1053">
        <v>0</v>
      </c>
      <c r="P53" s="1053">
        <v>0</v>
      </c>
      <c r="Q53" s="1053">
        <v>0</v>
      </c>
      <c r="R53" s="1053">
        <v>1</v>
      </c>
      <c r="S53" s="1053">
        <v>0</v>
      </c>
      <c r="T53" s="1053">
        <v>0</v>
      </c>
      <c r="U53" s="1053">
        <v>0</v>
      </c>
      <c r="V53" s="1053">
        <v>0</v>
      </c>
      <c r="W53" s="1053">
        <v>0</v>
      </c>
      <c r="X53" s="1053">
        <v>6.75</v>
      </c>
      <c r="Y53" s="1053">
        <v>9.05</v>
      </c>
      <c r="Z53" s="1053">
        <v>7.5</v>
      </c>
      <c r="AA53" s="1053">
        <v>7.25</v>
      </c>
      <c r="AB53" s="1053">
        <v>7.75</v>
      </c>
      <c r="AC53" s="1053">
        <v>10</v>
      </c>
      <c r="AD53" s="1053">
        <v>6.75</v>
      </c>
      <c r="AE53" s="1053">
        <v>9</v>
      </c>
      <c r="AF53" s="1053">
        <v>6</v>
      </c>
      <c r="AG53" s="1053">
        <v>2</v>
      </c>
      <c r="AH53" s="1053">
        <v>5.5</v>
      </c>
      <c r="AI53" s="1053">
        <v>5</v>
      </c>
      <c r="AJ53" s="1053">
        <v>4.25</v>
      </c>
      <c r="AK53" s="1053">
        <v>5</v>
      </c>
      <c r="AL53" s="1053">
        <v>3.5</v>
      </c>
      <c r="AM53" s="1053">
        <v>3</v>
      </c>
      <c r="AN53" s="1053">
        <v>1.5</v>
      </c>
      <c r="AO53" s="1053">
        <v>4</v>
      </c>
      <c r="AP53" s="1055">
        <v>6.64</v>
      </c>
      <c r="AQ53" s="1057">
        <v>132.95</v>
      </c>
      <c r="AR53" s="1053">
        <v>3.5</v>
      </c>
    </row>
    <row r="54" spans="1:44" ht="20.25">
      <c r="A54" s="1050" t="s">
        <v>118</v>
      </c>
      <c r="B54" s="1050">
        <v>8.327752090169552</v>
      </c>
      <c r="C54" s="1050">
        <v>9.253647416413374</v>
      </c>
      <c r="D54" s="1050">
        <v>7.401856763925729</v>
      </c>
      <c r="E54" s="1076">
        <v>329</v>
      </c>
      <c r="F54" s="1076">
        <v>754</v>
      </c>
      <c r="G54" s="1076">
        <v>103</v>
      </c>
      <c r="H54" s="1076">
        <v>84</v>
      </c>
      <c r="I54" s="1076">
        <v>63</v>
      </c>
      <c r="J54" s="1076">
        <v>0</v>
      </c>
      <c r="K54" s="1076">
        <v>34</v>
      </c>
      <c r="L54" s="1076">
        <v>7</v>
      </c>
      <c r="M54" s="1076">
        <v>116</v>
      </c>
      <c r="N54" s="1076">
        <v>39</v>
      </c>
      <c r="O54" s="1076">
        <v>91</v>
      </c>
      <c r="P54" s="1076">
        <v>0</v>
      </c>
      <c r="Q54" s="1076">
        <v>243</v>
      </c>
      <c r="R54" s="1076">
        <v>527</v>
      </c>
      <c r="S54" s="1076">
        <v>46</v>
      </c>
      <c r="T54" s="1076">
        <v>29</v>
      </c>
      <c r="U54" s="1076">
        <v>0</v>
      </c>
      <c r="V54" s="1076">
        <v>0</v>
      </c>
      <c r="W54" s="1076">
        <v>248</v>
      </c>
      <c r="X54" s="1076">
        <v>6.75</v>
      </c>
      <c r="Y54" s="1076">
        <v>9.05</v>
      </c>
      <c r="Z54" s="1076">
        <v>7.5</v>
      </c>
      <c r="AA54" s="1076">
        <v>7.25</v>
      </c>
      <c r="AB54" s="1076">
        <v>7.75</v>
      </c>
      <c r="AC54" s="1076">
        <v>10</v>
      </c>
      <c r="AD54" s="1076">
        <v>6.75</v>
      </c>
      <c r="AE54" s="1076">
        <v>9</v>
      </c>
      <c r="AF54" s="1076">
        <v>6</v>
      </c>
      <c r="AG54" s="1076">
        <v>2</v>
      </c>
      <c r="AH54" s="1076">
        <v>5.5</v>
      </c>
      <c r="AI54" s="1076">
        <v>5</v>
      </c>
      <c r="AJ54" s="1076">
        <v>4.25</v>
      </c>
      <c r="AK54" s="1076">
        <v>5</v>
      </c>
      <c r="AL54" s="1076">
        <v>3.5</v>
      </c>
      <c r="AM54" s="1076">
        <v>3</v>
      </c>
      <c r="AN54" s="1076">
        <v>1.5</v>
      </c>
      <c r="AO54" s="1076">
        <v>1083</v>
      </c>
      <c r="AP54" s="1075">
        <v>6.264652955261905</v>
      </c>
      <c r="AQ54" s="1074">
        <v>132.95</v>
      </c>
      <c r="AR54" s="1076">
        <v>906.4</v>
      </c>
    </row>
    <row r="55" spans="1:44" ht="20.25">
      <c r="A55" s="1059" t="s">
        <v>119</v>
      </c>
      <c r="B55" s="1059">
        <v>11.464285714285715</v>
      </c>
      <c r="C55" s="1059">
        <v>7.928571428571429</v>
      </c>
      <c r="D55" s="1059">
        <v>15</v>
      </c>
      <c r="E55" s="1053">
        <v>7</v>
      </c>
      <c r="F55" s="1053">
        <v>2</v>
      </c>
      <c r="G55" s="1053">
        <v>1</v>
      </c>
      <c r="H55" s="1053">
        <v>0</v>
      </c>
      <c r="I55" s="1053">
        <v>2</v>
      </c>
      <c r="J55" s="1053">
        <v>0</v>
      </c>
      <c r="K55" s="1053">
        <v>0</v>
      </c>
      <c r="L55" s="1053">
        <v>0</v>
      </c>
      <c r="M55" s="1053">
        <v>5</v>
      </c>
      <c r="N55" s="1053">
        <v>0</v>
      </c>
      <c r="O55" s="1053">
        <v>0</v>
      </c>
      <c r="P55" s="1053">
        <v>0</v>
      </c>
      <c r="Q55" s="1053">
        <v>0</v>
      </c>
      <c r="R55" s="1053">
        <v>6</v>
      </c>
      <c r="S55" s="1053">
        <v>0</v>
      </c>
      <c r="T55" s="1053">
        <v>0</v>
      </c>
      <c r="U55" s="1053">
        <v>0</v>
      </c>
      <c r="V55" s="1053">
        <v>0</v>
      </c>
      <c r="W55" s="1053">
        <v>0</v>
      </c>
      <c r="X55" s="1053">
        <v>6.75</v>
      </c>
      <c r="Y55" s="1053">
        <v>9.05</v>
      </c>
      <c r="Z55" s="1053">
        <v>7.5</v>
      </c>
      <c r="AA55" s="1053">
        <v>7.25</v>
      </c>
      <c r="AB55" s="1053">
        <v>7.75</v>
      </c>
      <c r="AC55" s="1053">
        <v>10</v>
      </c>
      <c r="AD55" s="1053">
        <v>6.75</v>
      </c>
      <c r="AE55" s="1053">
        <v>9</v>
      </c>
      <c r="AF55" s="1053">
        <v>6</v>
      </c>
      <c r="AG55" s="1053">
        <v>2</v>
      </c>
      <c r="AH55" s="1053">
        <v>5.5</v>
      </c>
      <c r="AI55" s="1053">
        <v>5</v>
      </c>
      <c r="AJ55" s="1053">
        <v>4.25</v>
      </c>
      <c r="AK55" s="1053">
        <v>5</v>
      </c>
      <c r="AL55" s="1053">
        <v>3.5</v>
      </c>
      <c r="AM55" s="1053">
        <v>3</v>
      </c>
      <c r="AN55" s="1053">
        <v>1.5</v>
      </c>
      <c r="AO55" s="1053">
        <v>9</v>
      </c>
      <c r="AP55" s="1055">
        <v>6.364285714285714</v>
      </c>
      <c r="AQ55" s="1057">
        <v>132.95</v>
      </c>
      <c r="AR55" s="1053">
        <v>7.6</v>
      </c>
    </row>
    <row r="56" spans="1:44" ht="20.25">
      <c r="A56" s="1050" t="s">
        <v>120</v>
      </c>
      <c r="B56" s="1050">
        <v>5.459883540312371</v>
      </c>
      <c r="C56" s="1050">
        <v>7.911284046692607</v>
      </c>
      <c r="D56" s="1050">
        <v>3.008483033932136</v>
      </c>
      <c r="E56" s="1076">
        <v>257</v>
      </c>
      <c r="F56" s="1076">
        <v>1002</v>
      </c>
      <c r="G56" s="1076">
        <v>66</v>
      </c>
      <c r="H56" s="1076">
        <v>44</v>
      </c>
      <c r="I56" s="1076">
        <v>32</v>
      </c>
      <c r="J56" s="1076">
        <v>3</v>
      </c>
      <c r="K56" s="1076">
        <v>24</v>
      </c>
      <c r="L56" s="1076">
        <v>6</v>
      </c>
      <c r="M56" s="1076">
        <v>101</v>
      </c>
      <c r="N56" s="1076">
        <v>16</v>
      </c>
      <c r="O56" s="1076">
        <v>52</v>
      </c>
      <c r="P56" s="1076">
        <v>1</v>
      </c>
      <c r="Q56" s="1076">
        <v>324</v>
      </c>
      <c r="R56" s="1076">
        <v>98</v>
      </c>
      <c r="S56" s="1076">
        <v>6</v>
      </c>
      <c r="T56" s="1076">
        <v>20</v>
      </c>
      <c r="U56" s="1076">
        <v>0</v>
      </c>
      <c r="V56" s="1076">
        <v>0</v>
      </c>
      <c r="W56" s="1076">
        <v>106</v>
      </c>
      <c r="X56" s="1076">
        <v>6.75</v>
      </c>
      <c r="Y56" s="1076">
        <v>9.05</v>
      </c>
      <c r="Z56" s="1076">
        <v>7.5</v>
      </c>
      <c r="AA56" s="1076">
        <v>7.25</v>
      </c>
      <c r="AB56" s="1076">
        <v>7.75</v>
      </c>
      <c r="AC56" s="1076">
        <v>10</v>
      </c>
      <c r="AD56" s="1076">
        <v>6.75</v>
      </c>
      <c r="AE56" s="1076">
        <v>9</v>
      </c>
      <c r="AF56" s="1076">
        <v>6</v>
      </c>
      <c r="AG56" s="1076">
        <v>2</v>
      </c>
      <c r="AH56" s="1076">
        <v>5.5</v>
      </c>
      <c r="AI56" s="1076">
        <v>5</v>
      </c>
      <c r="AJ56" s="1076">
        <v>4.25</v>
      </c>
      <c r="AK56" s="1076">
        <v>5</v>
      </c>
      <c r="AL56" s="1076">
        <v>3.5</v>
      </c>
      <c r="AM56" s="1076">
        <v>3</v>
      </c>
      <c r="AN56" s="1076">
        <v>1.5</v>
      </c>
      <c r="AO56" s="1076">
        <v>1259</v>
      </c>
      <c r="AP56" s="1075">
        <v>6.093841014469117</v>
      </c>
      <c r="AQ56" s="1074">
        <v>132.95</v>
      </c>
      <c r="AR56" s="1075">
        <v>1025</v>
      </c>
    </row>
    <row r="57" spans="1:44" ht="20.25">
      <c r="A57" s="1059" t="s">
        <v>121</v>
      </c>
      <c r="B57" s="1059">
        <v>7.848809523809524</v>
      </c>
      <c r="C57" s="1059">
        <v>9.269047619047619</v>
      </c>
      <c r="D57" s="1059">
        <v>6.428571428571429</v>
      </c>
      <c r="E57" s="1053">
        <v>21</v>
      </c>
      <c r="F57" s="1053">
        <v>14</v>
      </c>
      <c r="G57" s="1053">
        <v>3</v>
      </c>
      <c r="H57" s="1053">
        <v>3</v>
      </c>
      <c r="I57" s="1053">
        <v>2</v>
      </c>
      <c r="J57" s="1053">
        <v>0</v>
      </c>
      <c r="K57" s="1053">
        <v>4</v>
      </c>
      <c r="L57" s="1053">
        <v>0</v>
      </c>
      <c r="M57" s="1053">
        <v>15</v>
      </c>
      <c r="N57" s="1053">
        <v>0</v>
      </c>
      <c r="O57" s="1053">
        <v>0</v>
      </c>
      <c r="P57" s="1053">
        <v>0</v>
      </c>
      <c r="Q57" s="1053">
        <v>0</v>
      </c>
      <c r="R57" s="1053">
        <v>18</v>
      </c>
      <c r="S57" s="1053">
        <v>0</v>
      </c>
      <c r="T57" s="1053">
        <v>0</v>
      </c>
      <c r="U57" s="1053">
        <v>0</v>
      </c>
      <c r="V57" s="1053">
        <v>0</v>
      </c>
      <c r="W57" s="1053">
        <v>0</v>
      </c>
      <c r="X57" s="1053">
        <v>6.75</v>
      </c>
      <c r="Y57" s="1053">
        <v>9.05</v>
      </c>
      <c r="Z57" s="1053">
        <v>7.5</v>
      </c>
      <c r="AA57" s="1053">
        <v>7.25</v>
      </c>
      <c r="AB57" s="1053">
        <v>7.75</v>
      </c>
      <c r="AC57" s="1053">
        <v>10</v>
      </c>
      <c r="AD57" s="1053">
        <v>6.75</v>
      </c>
      <c r="AE57" s="1053">
        <v>9</v>
      </c>
      <c r="AF57" s="1053">
        <v>6</v>
      </c>
      <c r="AG57" s="1053">
        <v>2</v>
      </c>
      <c r="AH57" s="1053">
        <v>5.5</v>
      </c>
      <c r="AI57" s="1053">
        <v>5</v>
      </c>
      <c r="AJ57" s="1053">
        <v>4.25</v>
      </c>
      <c r="AK57" s="1053">
        <v>5</v>
      </c>
      <c r="AL57" s="1053">
        <v>3.5</v>
      </c>
      <c r="AM57" s="1053">
        <v>3</v>
      </c>
      <c r="AN57" s="1053">
        <v>1.5</v>
      </c>
      <c r="AO57" s="1053">
        <v>35</v>
      </c>
      <c r="AP57" s="1055">
        <v>6.085714285714285</v>
      </c>
      <c r="AQ57" s="1057">
        <v>132.95</v>
      </c>
      <c r="AR57" s="1053">
        <v>28.5</v>
      </c>
    </row>
    <row r="58" spans="1:44" ht="20.25">
      <c r="A58" s="1059" t="s">
        <v>122</v>
      </c>
      <c r="B58" s="1059">
        <v>20.222934472934476</v>
      </c>
      <c r="C58" s="1059">
        <v>23.90740740740741</v>
      </c>
      <c r="D58" s="1059">
        <v>16.53846153846154</v>
      </c>
      <c r="E58" s="1053">
        <v>27</v>
      </c>
      <c r="F58" s="1053">
        <v>13</v>
      </c>
      <c r="G58" s="1053">
        <v>22</v>
      </c>
      <c r="H58" s="1053">
        <v>15</v>
      </c>
      <c r="I58" s="1053">
        <v>21</v>
      </c>
      <c r="J58" s="1053">
        <v>0</v>
      </c>
      <c r="K58" s="1053">
        <v>8</v>
      </c>
      <c r="L58" s="1053">
        <v>0</v>
      </c>
      <c r="M58" s="1053">
        <v>21</v>
      </c>
      <c r="N58" s="1053">
        <v>0</v>
      </c>
      <c r="O58" s="1053">
        <v>0</v>
      </c>
      <c r="P58" s="1053">
        <v>0</v>
      </c>
      <c r="Q58" s="1053">
        <v>0</v>
      </c>
      <c r="R58" s="1053">
        <v>43</v>
      </c>
      <c r="S58" s="1053">
        <v>0</v>
      </c>
      <c r="T58" s="1053">
        <v>0</v>
      </c>
      <c r="U58" s="1053">
        <v>0</v>
      </c>
      <c r="V58" s="1053">
        <v>0</v>
      </c>
      <c r="W58" s="1053">
        <v>0</v>
      </c>
      <c r="X58" s="1053">
        <v>6.75</v>
      </c>
      <c r="Y58" s="1053">
        <v>9.05</v>
      </c>
      <c r="Z58" s="1053">
        <v>7.5</v>
      </c>
      <c r="AA58" s="1053">
        <v>7.25</v>
      </c>
      <c r="AB58" s="1053">
        <v>7.75</v>
      </c>
      <c r="AC58" s="1053">
        <v>10</v>
      </c>
      <c r="AD58" s="1053">
        <v>6.75</v>
      </c>
      <c r="AE58" s="1053">
        <v>9</v>
      </c>
      <c r="AF58" s="1053">
        <v>6</v>
      </c>
      <c r="AG58" s="1053">
        <v>2</v>
      </c>
      <c r="AH58" s="1053">
        <v>5.5</v>
      </c>
      <c r="AI58" s="1053">
        <v>5</v>
      </c>
      <c r="AJ58" s="1053">
        <v>4.25</v>
      </c>
      <c r="AK58" s="1053">
        <v>5</v>
      </c>
      <c r="AL58" s="1053">
        <v>3.5</v>
      </c>
      <c r="AM58" s="1053">
        <v>3</v>
      </c>
      <c r="AN58" s="1053">
        <v>1.5</v>
      </c>
      <c r="AO58" s="1053">
        <v>40</v>
      </c>
      <c r="AP58" s="1055">
        <v>6.332407407407407</v>
      </c>
      <c r="AQ58" s="1057">
        <v>132.95</v>
      </c>
      <c r="AR58" s="1053">
        <v>33.8</v>
      </c>
    </row>
    <row r="59" spans="1:44" ht="20.25">
      <c r="A59" s="1059" t="s">
        <v>123</v>
      </c>
      <c r="B59" s="1059">
        <v>9.34396404109589</v>
      </c>
      <c r="C59" s="1059">
        <v>10.719178082191782</v>
      </c>
      <c r="D59" s="1059">
        <v>7.96875</v>
      </c>
      <c r="E59" s="1053">
        <v>73</v>
      </c>
      <c r="F59" s="1053">
        <v>32</v>
      </c>
      <c r="G59" s="1053">
        <v>22</v>
      </c>
      <c r="H59" s="1053">
        <v>25</v>
      </c>
      <c r="I59" s="1053">
        <v>20</v>
      </c>
      <c r="J59" s="1053">
        <v>0</v>
      </c>
      <c r="K59" s="1053">
        <v>8</v>
      </c>
      <c r="L59" s="1053">
        <v>0</v>
      </c>
      <c r="M59" s="1053">
        <v>29</v>
      </c>
      <c r="N59" s="1053">
        <v>0</v>
      </c>
      <c r="O59" s="1053">
        <v>0</v>
      </c>
      <c r="P59" s="1053">
        <v>0</v>
      </c>
      <c r="Q59" s="1053">
        <v>0</v>
      </c>
      <c r="R59" s="1053">
        <v>51</v>
      </c>
      <c r="S59" s="1053">
        <v>0</v>
      </c>
      <c r="T59" s="1053">
        <v>0</v>
      </c>
      <c r="U59" s="1053">
        <v>0</v>
      </c>
      <c r="V59" s="1053">
        <v>0</v>
      </c>
      <c r="W59" s="1053">
        <v>0</v>
      </c>
      <c r="X59" s="1053">
        <v>6.75</v>
      </c>
      <c r="Y59" s="1053">
        <v>9.05</v>
      </c>
      <c r="Z59" s="1053">
        <v>7.5</v>
      </c>
      <c r="AA59" s="1053">
        <v>7.25</v>
      </c>
      <c r="AB59" s="1053">
        <v>7.75</v>
      </c>
      <c r="AC59" s="1053">
        <v>10</v>
      </c>
      <c r="AD59" s="1053">
        <v>6.75</v>
      </c>
      <c r="AE59" s="1053">
        <v>9</v>
      </c>
      <c r="AF59" s="1053">
        <v>6</v>
      </c>
      <c r="AG59" s="1053">
        <v>2</v>
      </c>
      <c r="AH59" s="1053">
        <v>5.5</v>
      </c>
      <c r="AI59" s="1053">
        <v>5</v>
      </c>
      <c r="AJ59" s="1053">
        <v>4.25</v>
      </c>
      <c r="AK59" s="1053">
        <v>5</v>
      </c>
      <c r="AL59" s="1053">
        <v>3.5</v>
      </c>
      <c r="AM59" s="1053">
        <v>3</v>
      </c>
      <c r="AN59" s="1053">
        <v>1.5</v>
      </c>
      <c r="AO59" s="1053">
        <v>105</v>
      </c>
      <c r="AP59" s="1055">
        <v>6.286986301369863</v>
      </c>
      <c r="AQ59" s="1057">
        <v>132.95</v>
      </c>
      <c r="AR59" s="1053">
        <v>88.2</v>
      </c>
    </row>
    <row r="60" spans="1:44" ht="20.25">
      <c r="A60" s="1059" t="s">
        <v>13</v>
      </c>
      <c r="B60" s="1059"/>
      <c r="C60" s="1059"/>
      <c r="D60" s="1059"/>
      <c r="E60" s="1053">
        <v>7012</v>
      </c>
      <c r="F60" s="1053">
        <v>15405</v>
      </c>
      <c r="G60" s="1053">
        <v>1982</v>
      </c>
      <c r="H60" s="1053">
        <v>1545</v>
      </c>
      <c r="I60" s="1053">
        <v>1145</v>
      </c>
      <c r="J60" s="1053">
        <v>47</v>
      </c>
      <c r="K60" s="1053">
        <v>567</v>
      </c>
      <c r="L60" s="1053">
        <v>134</v>
      </c>
      <c r="M60" s="1053">
        <v>2168</v>
      </c>
      <c r="N60" s="1053">
        <v>429</v>
      </c>
      <c r="O60" s="1053">
        <v>1135</v>
      </c>
      <c r="P60" s="1053">
        <v>1</v>
      </c>
      <c r="Q60" s="1053">
        <v>3846</v>
      </c>
      <c r="R60" s="1053">
        <v>8952</v>
      </c>
      <c r="S60" s="1053">
        <v>269</v>
      </c>
      <c r="T60" s="1053">
        <v>431</v>
      </c>
      <c r="U60" s="1053">
        <v>0</v>
      </c>
      <c r="V60" s="1053">
        <v>0</v>
      </c>
      <c r="W60" s="1053">
        <v>1985</v>
      </c>
      <c r="X60" s="1053">
        <v>189</v>
      </c>
      <c r="Y60" s="1053">
        <v>253.40000000000012</v>
      </c>
      <c r="Z60" s="1053">
        <v>210</v>
      </c>
      <c r="AA60" s="1053">
        <v>203</v>
      </c>
      <c r="AB60" s="1053">
        <v>217</v>
      </c>
      <c r="AC60" s="1053">
        <v>280</v>
      </c>
      <c r="AD60" s="1053">
        <v>189</v>
      </c>
      <c r="AE60" s="1053">
        <v>252</v>
      </c>
      <c r="AF60" s="1053">
        <v>168</v>
      </c>
      <c r="AG60" s="1053">
        <v>56</v>
      </c>
      <c r="AH60" s="1053">
        <v>154</v>
      </c>
      <c r="AI60" s="1053">
        <v>140</v>
      </c>
      <c r="AJ60" s="1053">
        <v>119</v>
      </c>
      <c r="AK60" s="1053">
        <v>140</v>
      </c>
      <c r="AL60" s="1053">
        <v>98</v>
      </c>
      <c r="AM60" s="1053">
        <v>84</v>
      </c>
      <c r="AN60" s="1053">
        <v>42</v>
      </c>
      <c r="AO60" s="1053">
        <v>22417</v>
      </c>
      <c r="AP60" s="1053"/>
      <c r="AQ60" s="1057"/>
      <c r="AR60" s="1075">
        <f>SUM(AR35:AR59)</f>
        <v>18487.300000000003</v>
      </c>
    </row>
    <row r="61" spans="1:44" ht="20.25">
      <c r="A61" s="1067"/>
      <c r="B61" s="1067"/>
      <c r="C61" s="1067"/>
      <c r="D61" s="1067"/>
      <c r="E61" s="1068"/>
      <c r="F61" s="1068"/>
      <c r="G61" s="1068"/>
      <c r="H61" s="1068"/>
      <c r="I61" s="1068"/>
      <c r="J61" s="1068"/>
      <c r="K61" s="1068"/>
      <c r="L61" s="1068"/>
      <c r="M61" s="1068"/>
      <c r="N61" s="1068"/>
      <c r="O61" s="1068"/>
      <c r="P61" s="1068"/>
      <c r="Q61" s="1068"/>
      <c r="R61" s="1068"/>
      <c r="S61" s="1068"/>
      <c r="T61" s="1068"/>
      <c r="U61" s="1068"/>
      <c r="V61" s="1068"/>
      <c r="W61" s="1068"/>
      <c r="X61" s="1068"/>
      <c r="Y61" s="1068"/>
      <c r="Z61" s="1068"/>
      <c r="AA61" s="1068"/>
      <c r="AB61" s="1068"/>
      <c r="AC61" s="1068"/>
      <c r="AD61" s="1068"/>
      <c r="AE61" s="1068"/>
      <c r="AF61" s="1068"/>
      <c r="AG61" s="1068"/>
      <c r="AH61" s="1068"/>
      <c r="AI61" s="1068"/>
      <c r="AJ61" s="1068"/>
      <c r="AK61" s="1068"/>
      <c r="AL61" s="1068"/>
      <c r="AM61" s="1068"/>
      <c r="AN61" s="1068"/>
      <c r="AO61" s="1068"/>
      <c r="AP61" s="1068"/>
      <c r="AQ61" s="1069"/>
      <c r="AR61" s="1068"/>
    </row>
    <row r="62" spans="1:44" ht="20.25">
      <c r="A62" s="1296" t="s">
        <v>487</v>
      </c>
      <c r="B62" s="1296"/>
      <c r="C62" s="1296"/>
      <c r="D62" s="1296"/>
      <c r="E62" s="1296"/>
      <c r="F62" s="1296"/>
      <c r="G62" s="1296"/>
      <c r="H62" s="1296"/>
      <c r="I62" s="1296"/>
      <c r="J62" s="1296"/>
      <c r="K62" s="1296"/>
      <c r="L62" s="1296"/>
      <c r="M62" s="1296"/>
      <c r="N62" s="1296"/>
      <c r="O62" s="1296"/>
      <c r="P62" s="1296"/>
      <c r="Q62" s="1296"/>
      <c r="R62" s="1296"/>
      <c r="S62" s="1296"/>
      <c r="T62" s="1296"/>
      <c r="U62" s="1296"/>
      <c r="V62" s="1296"/>
      <c r="W62" s="1296"/>
      <c r="X62" s="1296"/>
      <c r="Y62" s="1296"/>
      <c r="Z62" s="1296"/>
      <c r="AA62" s="1296"/>
      <c r="AB62" s="1296"/>
      <c r="AC62" s="1296"/>
      <c r="AD62" s="1296"/>
      <c r="AE62" s="1296"/>
      <c r="AF62" s="1296"/>
      <c r="AG62" s="1296"/>
      <c r="AH62" s="1296"/>
      <c r="AI62" s="1296"/>
      <c r="AJ62" s="1296"/>
      <c r="AK62" s="1296"/>
      <c r="AL62" s="1296"/>
      <c r="AM62" s="1296"/>
      <c r="AN62" s="1296"/>
      <c r="AO62" s="1296"/>
      <c r="AP62" s="1296"/>
      <c r="AQ62" s="1296"/>
      <c r="AR62" s="1296"/>
    </row>
    <row r="63" spans="1:44" ht="20.25">
      <c r="A63" s="1067"/>
      <c r="B63" s="1067"/>
      <c r="C63" s="1067"/>
      <c r="D63" s="1067"/>
      <c r="E63" s="1068"/>
      <c r="F63" s="1068"/>
      <c r="G63" s="1068"/>
      <c r="H63" s="1068"/>
      <c r="I63" s="1068"/>
      <c r="J63" s="1068"/>
      <c r="K63" s="1068"/>
      <c r="L63" s="1068"/>
      <c r="M63" s="1068"/>
      <c r="N63" s="1068"/>
      <c r="O63" s="1068"/>
      <c r="P63" s="1068"/>
      <c r="Q63" s="1068"/>
      <c r="R63" s="1068"/>
      <c r="S63" s="1068"/>
      <c r="T63" s="1068"/>
      <c r="U63" s="1068"/>
      <c r="V63" s="1068"/>
      <c r="W63" s="1068"/>
      <c r="X63" s="1068"/>
      <c r="Y63" s="1068"/>
      <c r="Z63" s="1068"/>
      <c r="AA63" s="1068"/>
      <c r="AB63" s="1068"/>
      <c r="AC63" s="1068"/>
      <c r="AD63" s="1068"/>
      <c r="AE63" s="1068"/>
      <c r="AF63" s="1068"/>
      <c r="AG63" s="1068"/>
      <c r="AH63" s="1068"/>
      <c r="AI63" s="1068"/>
      <c r="AJ63" s="1068"/>
      <c r="AK63" s="1068"/>
      <c r="AL63" s="1068"/>
      <c r="AM63" s="1068"/>
      <c r="AN63" s="1068"/>
      <c r="AO63" s="1068"/>
      <c r="AP63" s="1068"/>
      <c r="AQ63" s="1069"/>
      <c r="AR63" s="1068"/>
    </row>
    <row r="64" spans="1:44" ht="243">
      <c r="A64" s="1044"/>
      <c r="B64" s="1045" t="s">
        <v>527</v>
      </c>
      <c r="C64" s="1045" t="s">
        <v>528</v>
      </c>
      <c r="D64" s="1045" t="s">
        <v>529</v>
      </c>
      <c r="E64" s="1046" t="s">
        <v>167</v>
      </c>
      <c r="F64" s="1046" t="s">
        <v>168</v>
      </c>
      <c r="G64" s="1047" t="s">
        <v>530</v>
      </c>
      <c r="H64" s="1047" t="s">
        <v>531</v>
      </c>
      <c r="I64" s="1047" t="s">
        <v>532</v>
      </c>
      <c r="J64" s="1047" t="s">
        <v>533</v>
      </c>
      <c r="K64" s="1047" t="s">
        <v>534</v>
      </c>
      <c r="L64" s="1047" t="s">
        <v>535</v>
      </c>
      <c r="M64" s="1047" t="s">
        <v>536</v>
      </c>
      <c r="N64" s="1047" t="s">
        <v>537</v>
      </c>
      <c r="O64" s="1047" t="s">
        <v>538</v>
      </c>
      <c r="P64" s="1047" t="s">
        <v>539</v>
      </c>
      <c r="Q64" s="1047" t="s">
        <v>540</v>
      </c>
      <c r="R64" s="1047" t="s">
        <v>541</v>
      </c>
      <c r="S64" s="1047" t="s">
        <v>542</v>
      </c>
      <c r="T64" s="1047" t="s">
        <v>543</v>
      </c>
      <c r="U64" s="1047" t="s">
        <v>544</v>
      </c>
      <c r="V64" s="1047" t="s">
        <v>545</v>
      </c>
      <c r="W64" s="1047" t="s">
        <v>546</v>
      </c>
      <c r="X64" s="1047" t="s">
        <v>547</v>
      </c>
      <c r="Y64" s="1047" t="s">
        <v>548</v>
      </c>
      <c r="Z64" s="1047" t="s">
        <v>549</v>
      </c>
      <c r="AA64" s="1047" t="s">
        <v>550</v>
      </c>
      <c r="AB64" s="1047" t="s">
        <v>551</v>
      </c>
      <c r="AC64" s="1047" t="s">
        <v>552</v>
      </c>
      <c r="AD64" s="1047" t="s">
        <v>553</v>
      </c>
      <c r="AE64" s="1047" t="s">
        <v>554</v>
      </c>
      <c r="AF64" s="1047" t="s">
        <v>555</v>
      </c>
      <c r="AG64" s="1047" t="s">
        <v>556</v>
      </c>
      <c r="AH64" s="1047" t="s">
        <v>557</v>
      </c>
      <c r="AI64" s="1047" t="s">
        <v>558</v>
      </c>
      <c r="AJ64" s="1047" t="s">
        <v>559</v>
      </c>
      <c r="AK64" s="1047" t="s">
        <v>560</v>
      </c>
      <c r="AL64" s="1047" t="s">
        <v>561</v>
      </c>
      <c r="AM64" s="1047" t="s">
        <v>562</v>
      </c>
      <c r="AN64" s="1047" t="s">
        <v>563</v>
      </c>
      <c r="AO64" s="1048" t="s">
        <v>564</v>
      </c>
      <c r="AP64" s="1048" t="s">
        <v>565</v>
      </c>
      <c r="AQ64" s="1049" t="s">
        <v>566</v>
      </c>
      <c r="AR64" s="1048" t="s">
        <v>569</v>
      </c>
    </row>
    <row r="65" spans="1:44" ht="20.25">
      <c r="A65" s="1050" t="s">
        <v>101</v>
      </c>
      <c r="B65" s="1051">
        <v>6.505859907028006</v>
      </c>
      <c r="C65" s="1051">
        <v>7.719995794785535</v>
      </c>
      <c r="D65" s="1051">
        <v>5.291724019270475</v>
      </c>
      <c r="E65" s="1076">
        <v>4756</v>
      </c>
      <c r="F65" s="1076">
        <v>8718</v>
      </c>
      <c r="G65" s="1076">
        <v>1377</v>
      </c>
      <c r="H65" s="1076">
        <v>1056</v>
      </c>
      <c r="I65" s="1076">
        <v>731</v>
      </c>
      <c r="J65" s="1076">
        <v>34</v>
      </c>
      <c r="K65" s="1076">
        <v>358</v>
      </c>
      <c r="L65" s="1076">
        <v>89</v>
      </c>
      <c r="M65" s="1076">
        <v>1255</v>
      </c>
      <c r="N65" s="1076">
        <v>192</v>
      </c>
      <c r="O65" s="1076">
        <v>612</v>
      </c>
      <c r="P65" s="1076">
        <v>0</v>
      </c>
      <c r="Q65" s="1076">
        <v>1967</v>
      </c>
      <c r="R65" s="1076">
        <v>5335</v>
      </c>
      <c r="S65" s="1076">
        <v>121</v>
      </c>
      <c r="T65" s="1076">
        <v>264</v>
      </c>
      <c r="U65" s="1076">
        <v>0</v>
      </c>
      <c r="V65" s="1076">
        <v>0</v>
      </c>
      <c r="W65" s="1076">
        <v>937</v>
      </c>
      <c r="X65" s="1078">
        <v>6.75</v>
      </c>
      <c r="Y65" s="1076">
        <v>9.05</v>
      </c>
      <c r="Z65" s="1076">
        <v>7.5</v>
      </c>
      <c r="AA65" s="1076">
        <v>7.25</v>
      </c>
      <c r="AB65" s="1076">
        <v>7.75</v>
      </c>
      <c r="AC65" s="1076">
        <v>10</v>
      </c>
      <c r="AD65" s="1076">
        <v>6.75</v>
      </c>
      <c r="AE65" s="1076">
        <v>9</v>
      </c>
      <c r="AF65" s="1076">
        <v>6</v>
      </c>
      <c r="AG65" s="1076">
        <v>2</v>
      </c>
      <c r="AH65" s="1076">
        <v>5.5</v>
      </c>
      <c r="AI65" s="1076">
        <v>5</v>
      </c>
      <c r="AJ65" s="1076">
        <v>4.25</v>
      </c>
      <c r="AK65" s="1076">
        <v>5</v>
      </c>
      <c r="AL65" s="1076">
        <v>3.5</v>
      </c>
      <c r="AM65" s="1076">
        <v>3</v>
      </c>
      <c r="AN65" s="1076">
        <v>1.5</v>
      </c>
      <c r="AO65" s="1075">
        <v>13474</v>
      </c>
      <c r="AP65" s="1077">
        <v>6.171956367499278</v>
      </c>
      <c r="AQ65" s="1074">
        <v>141.554</v>
      </c>
      <c r="AR65" s="1058">
        <v>11928.5</v>
      </c>
    </row>
    <row r="66" spans="1:44" ht="20.25">
      <c r="A66" s="1050" t="s">
        <v>102</v>
      </c>
      <c r="B66" s="1051">
        <v>6.3400592850012245</v>
      </c>
      <c r="C66" s="1051">
        <v>7.091066282420749</v>
      </c>
      <c r="D66" s="1051">
        <v>5.5890522875816995</v>
      </c>
      <c r="E66" s="1076">
        <v>347</v>
      </c>
      <c r="F66" s="1076">
        <v>1224</v>
      </c>
      <c r="G66" s="1076">
        <v>55</v>
      </c>
      <c r="H66" s="1076">
        <v>57</v>
      </c>
      <c r="I66" s="1076">
        <v>54</v>
      </c>
      <c r="J66" s="1076">
        <v>4</v>
      </c>
      <c r="K66" s="1076">
        <v>20</v>
      </c>
      <c r="L66" s="1076">
        <v>8</v>
      </c>
      <c r="M66" s="1076">
        <v>134</v>
      </c>
      <c r="N66" s="1076">
        <v>28</v>
      </c>
      <c r="O66" s="1076">
        <v>204</v>
      </c>
      <c r="P66" s="1076">
        <v>0</v>
      </c>
      <c r="Q66" s="1076">
        <v>271</v>
      </c>
      <c r="R66" s="1076">
        <v>667</v>
      </c>
      <c r="S66" s="1076">
        <v>14</v>
      </c>
      <c r="T66" s="1076">
        <v>27</v>
      </c>
      <c r="U66" s="1076">
        <v>0</v>
      </c>
      <c r="V66" s="1076">
        <v>0</v>
      </c>
      <c r="W66" s="1076">
        <v>230</v>
      </c>
      <c r="X66" s="1076">
        <v>6.75</v>
      </c>
      <c r="Y66" s="1076">
        <v>9.05</v>
      </c>
      <c r="Z66" s="1076">
        <v>7.5</v>
      </c>
      <c r="AA66" s="1076">
        <v>7.25</v>
      </c>
      <c r="AB66" s="1076">
        <v>7.75</v>
      </c>
      <c r="AC66" s="1076">
        <v>10</v>
      </c>
      <c r="AD66" s="1076">
        <v>6.75</v>
      </c>
      <c r="AE66" s="1076">
        <v>9</v>
      </c>
      <c r="AF66" s="1076">
        <v>6</v>
      </c>
      <c r="AG66" s="1076">
        <v>2</v>
      </c>
      <c r="AH66" s="1076">
        <v>5.5</v>
      </c>
      <c r="AI66" s="1076">
        <v>5</v>
      </c>
      <c r="AJ66" s="1076">
        <v>4.25</v>
      </c>
      <c r="AK66" s="1076">
        <v>5</v>
      </c>
      <c r="AL66" s="1076">
        <v>3.5</v>
      </c>
      <c r="AM66" s="1076">
        <v>3</v>
      </c>
      <c r="AN66" s="1076">
        <v>1.5</v>
      </c>
      <c r="AO66" s="1075">
        <v>1571</v>
      </c>
      <c r="AP66" s="1077">
        <v>6.271163250362585</v>
      </c>
      <c r="AQ66" s="1074">
        <v>141.554</v>
      </c>
      <c r="AR66" s="1058">
        <v>1413</v>
      </c>
    </row>
    <row r="67" spans="1:44" ht="20.25">
      <c r="A67" s="1059" t="s">
        <v>103</v>
      </c>
      <c r="B67" s="1051">
        <v>7.402406832298137</v>
      </c>
      <c r="C67" s="1052">
        <v>8.91195652173913</v>
      </c>
      <c r="D67" s="1052">
        <v>5.892857142857143</v>
      </c>
      <c r="E67" s="1053">
        <v>46</v>
      </c>
      <c r="F67" s="1053">
        <v>28</v>
      </c>
      <c r="G67" s="1053">
        <v>15</v>
      </c>
      <c r="H67" s="1053">
        <v>9</v>
      </c>
      <c r="I67" s="1053">
        <v>11</v>
      </c>
      <c r="J67" s="1053">
        <v>0</v>
      </c>
      <c r="K67" s="1053">
        <v>3</v>
      </c>
      <c r="L67" s="1053">
        <v>0</v>
      </c>
      <c r="M67" s="1053">
        <v>18</v>
      </c>
      <c r="N67" s="1053">
        <v>0</v>
      </c>
      <c r="O67" s="1053">
        <v>0</v>
      </c>
      <c r="P67" s="1053">
        <v>0</v>
      </c>
      <c r="Q67" s="1053">
        <v>0</v>
      </c>
      <c r="R67" s="1053">
        <v>33</v>
      </c>
      <c r="S67" s="1053">
        <v>0</v>
      </c>
      <c r="T67" s="1053">
        <v>0</v>
      </c>
      <c r="U67" s="1053">
        <v>0</v>
      </c>
      <c r="V67" s="1053">
        <v>0</v>
      </c>
      <c r="W67" s="1053">
        <v>0</v>
      </c>
      <c r="X67" s="1053">
        <v>6.75</v>
      </c>
      <c r="Y67" s="1053">
        <v>9.05</v>
      </c>
      <c r="Z67" s="1053">
        <v>7.5</v>
      </c>
      <c r="AA67" s="1053">
        <v>7.25</v>
      </c>
      <c r="AB67" s="1053">
        <v>7.75</v>
      </c>
      <c r="AC67" s="1053">
        <v>10</v>
      </c>
      <c r="AD67" s="1053">
        <v>6.75</v>
      </c>
      <c r="AE67" s="1053">
        <v>9</v>
      </c>
      <c r="AF67" s="1053">
        <v>6</v>
      </c>
      <c r="AG67" s="1053">
        <v>2</v>
      </c>
      <c r="AH67" s="1053">
        <v>5.5</v>
      </c>
      <c r="AI67" s="1053">
        <v>5</v>
      </c>
      <c r="AJ67" s="1053">
        <v>4.25</v>
      </c>
      <c r="AK67" s="1053">
        <v>5</v>
      </c>
      <c r="AL67" s="1053">
        <v>3.5</v>
      </c>
      <c r="AM67" s="1053">
        <v>3</v>
      </c>
      <c r="AN67" s="1053">
        <v>1.5</v>
      </c>
      <c r="AO67" s="1055">
        <v>74</v>
      </c>
      <c r="AP67" s="1056">
        <v>6.091847826086957</v>
      </c>
      <c r="AQ67" s="1057">
        <v>141.554</v>
      </c>
      <c r="AR67" s="1070">
        <v>64.7</v>
      </c>
    </row>
    <row r="68" spans="1:44" ht="20.25">
      <c r="A68" s="1059" t="s">
        <v>104</v>
      </c>
      <c r="B68" s="1051">
        <v>21.375</v>
      </c>
      <c r="C68" s="1052">
        <v>27.75</v>
      </c>
      <c r="D68" s="1052">
        <v>15</v>
      </c>
      <c r="E68" s="1053">
        <v>1</v>
      </c>
      <c r="F68" s="1053">
        <v>1</v>
      </c>
      <c r="G68" s="1053">
        <v>2</v>
      </c>
      <c r="H68" s="1053">
        <v>0</v>
      </c>
      <c r="I68" s="1053">
        <v>1</v>
      </c>
      <c r="J68" s="1053">
        <v>0</v>
      </c>
      <c r="K68" s="1053">
        <v>0</v>
      </c>
      <c r="L68" s="1053">
        <v>0</v>
      </c>
      <c r="M68" s="1053">
        <v>1</v>
      </c>
      <c r="N68" s="1053">
        <v>0</v>
      </c>
      <c r="O68" s="1053">
        <v>0</v>
      </c>
      <c r="P68" s="1053">
        <v>0</v>
      </c>
      <c r="Q68" s="1053">
        <v>0</v>
      </c>
      <c r="R68" s="1053">
        <v>3</v>
      </c>
      <c r="S68" s="1053">
        <v>0</v>
      </c>
      <c r="T68" s="1053">
        <v>0</v>
      </c>
      <c r="U68" s="1053">
        <v>0</v>
      </c>
      <c r="V68" s="1053">
        <v>0</v>
      </c>
      <c r="W68" s="1053">
        <v>0</v>
      </c>
      <c r="X68" s="1053">
        <v>6.75</v>
      </c>
      <c r="Y68" s="1053">
        <v>9.05</v>
      </c>
      <c r="Z68" s="1053">
        <v>7.5</v>
      </c>
      <c r="AA68" s="1053">
        <v>7.25</v>
      </c>
      <c r="AB68" s="1053">
        <v>7.75</v>
      </c>
      <c r="AC68" s="1053">
        <v>10</v>
      </c>
      <c r="AD68" s="1053">
        <v>6.75</v>
      </c>
      <c r="AE68" s="1053">
        <v>9</v>
      </c>
      <c r="AF68" s="1053">
        <v>6</v>
      </c>
      <c r="AG68" s="1053">
        <v>2</v>
      </c>
      <c r="AH68" s="1053">
        <v>5.5</v>
      </c>
      <c r="AI68" s="1053">
        <v>5</v>
      </c>
      <c r="AJ68" s="1053">
        <v>4.25</v>
      </c>
      <c r="AK68" s="1053">
        <v>5</v>
      </c>
      <c r="AL68" s="1053">
        <v>3.5</v>
      </c>
      <c r="AM68" s="1053">
        <v>3</v>
      </c>
      <c r="AN68" s="1053">
        <v>1.5</v>
      </c>
      <c r="AO68" s="1055">
        <v>2</v>
      </c>
      <c r="AP68" s="1056">
        <v>5.875</v>
      </c>
      <c r="AQ68" s="1057">
        <v>141.554</v>
      </c>
      <c r="AR68" s="1070">
        <v>1.7</v>
      </c>
    </row>
    <row r="69" spans="1:44" ht="20.25">
      <c r="A69" s="1059" t="s">
        <v>105</v>
      </c>
      <c r="B69" s="1051">
        <v>11.575</v>
      </c>
      <c r="C69" s="1052">
        <v>17.15</v>
      </c>
      <c r="D69" s="1052">
        <v>6</v>
      </c>
      <c r="E69" s="1053">
        <v>5</v>
      </c>
      <c r="F69" s="1053">
        <v>5</v>
      </c>
      <c r="G69" s="1053">
        <v>5</v>
      </c>
      <c r="H69" s="1053">
        <v>0</v>
      </c>
      <c r="I69" s="1053">
        <v>5</v>
      </c>
      <c r="J69" s="1053">
        <v>0</v>
      </c>
      <c r="K69" s="1053">
        <v>1</v>
      </c>
      <c r="L69" s="1053">
        <v>0</v>
      </c>
      <c r="M69" s="1053">
        <v>1</v>
      </c>
      <c r="N69" s="1053">
        <v>0</v>
      </c>
      <c r="O69" s="1053">
        <v>0</v>
      </c>
      <c r="P69" s="1053">
        <v>0</v>
      </c>
      <c r="Q69" s="1053">
        <v>0</v>
      </c>
      <c r="R69" s="1053">
        <v>6</v>
      </c>
      <c r="S69" s="1053">
        <v>0</v>
      </c>
      <c r="T69" s="1053">
        <v>0</v>
      </c>
      <c r="U69" s="1053">
        <v>0</v>
      </c>
      <c r="V69" s="1053">
        <v>0</v>
      </c>
      <c r="W69" s="1053">
        <v>0</v>
      </c>
      <c r="X69" s="1053">
        <v>6.75</v>
      </c>
      <c r="Y69" s="1053">
        <v>9.05</v>
      </c>
      <c r="Z69" s="1053">
        <v>7.5</v>
      </c>
      <c r="AA69" s="1053">
        <v>7.25</v>
      </c>
      <c r="AB69" s="1053">
        <v>7.75</v>
      </c>
      <c r="AC69" s="1053">
        <v>10</v>
      </c>
      <c r="AD69" s="1053">
        <v>6.75</v>
      </c>
      <c r="AE69" s="1053">
        <v>9</v>
      </c>
      <c r="AF69" s="1053">
        <v>6</v>
      </c>
      <c r="AG69" s="1053">
        <v>2</v>
      </c>
      <c r="AH69" s="1053">
        <v>5.5</v>
      </c>
      <c r="AI69" s="1053">
        <v>5</v>
      </c>
      <c r="AJ69" s="1053">
        <v>4.25</v>
      </c>
      <c r="AK69" s="1053">
        <v>5</v>
      </c>
      <c r="AL69" s="1053">
        <v>3.5</v>
      </c>
      <c r="AM69" s="1053">
        <v>3</v>
      </c>
      <c r="AN69" s="1053">
        <v>1.5</v>
      </c>
      <c r="AO69" s="1055">
        <v>10</v>
      </c>
      <c r="AP69" s="1056">
        <v>5.875</v>
      </c>
      <c r="AQ69" s="1057">
        <v>141.554</v>
      </c>
      <c r="AR69" s="1070">
        <v>8.4</v>
      </c>
    </row>
    <row r="70" spans="1:44" ht="20.25">
      <c r="A70" s="1059" t="s">
        <v>106</v>
      </c>
      <c r="B70" s="1051">
        <v>6.867156862745098</v>
      </c>
      <c r="C70" s="1052">
        <v>9.56764705882353</v>
      </c>
      <c r="D70" s="1052">
        <v>4.166666666666667</v>
      </c>
      <c r="E70" s="1053">
        <v>17</v>
      </c>
      <c r="F70" s="1053">
        <v>12</v>
      </c>
      <c r="G70" s="1053">
        <v>5</v>
      </c>
      <c r="H70" s="1053">
        <v>3</v>
      </c>
      <c r="I70" s="1053">
        <v>7</v>
      </c>
      <c r="J70" s="1053">
        <v>0</v>
      </c>
      <c r="K70" s="1053">
        <v>2</v>
      </c>
      <c r="L70" s="1053">
        <v>0</v>
      </c>
      <c r="M70" s="1053">
        <v>5</v>
      </c>
      <c r="N70" s="1053">
        <v>0</v>
      </c>
      <c r="O70" s="1053">
        <v>0</v>
      </c>
      <c r="P70" s="1053">
        <v>0</v>
      </c>
      <c r="Q70" s="1053">
        <v>0</v>
      </c>
      <c r="R70" s="1053">
        <v>10</v>
      </c>
      <c r="S70" s="1053">
        <v>0</v>
      </c>
      <c r="T70" s="1053">
        <v>0</v>
      </c>
      <c r="U70" s="1053">
        <v>0</v>
      </c>
      <c r="V70" s="1053">
        <v>0</v>
      </c>
      <c r="W70" s="1053">
        <v>0</v>
      </c>
      <c r="X70" s="1053">
        <v>6.75</v>
      </c>
      <c r="Y70" s="1053">
        <v>9.05</v>
      </c>
      <c r="Z70" s="1053">
        <v>7.5</v>
      </c>
      <c r="AA70" s="1053">
        <v>7.25</v>
      </c>
      <c r="AB70" s="1053">
        <v>7.75</v>
      </c>
      <c r="AC70" s="1053">
        <v>10</v>
      </c>
      <c r="AD70" s="1053">
        <v>6.75</v>
      </c>
      <c r="AE70" s="1053">
        <v>9</v>
      </c>
      <c r="AF70" s="1053">
        <v>6</v>
      </c>
      <c r="AG70" s="1053">
        <v>2</v>
      </c>
      <c r="AH70" s="1053">
        <v>5.5</v>
      </c>
      <c r="AI70" s="1053">
        <v>5</v>
      </c>
      <c r="AJ70" s="1053">
        <v>4.25</v>
      </c>
      <c r="AK70" s="1053">
        <v>5</v>
      </c>
      <c r="AL70" s="1053">
        <v>3.5</v>
      </c>
      <c r="AM70" s="1053">
        <v>3</v>
      </c>
      <c r="AN70" s="1053">
        <v>1.5</v>
      </c>
      <c r="AO70" s="1055">
        <v>29</v>
      </c>
      <c r="AP70" s="1056">
        <v>6</v>
      </c>
      <c r="AQ70" s="1057">
        <v>141.554</v>
      </c>
      <c r="AR70" s="1070">
        <v>25</v>
      </c>
    </row>
    <row r="71" spans="1:44" ht="20.25">
      <c r="A71" s="1059" t="s">
        <v>107</v>
      </c>
      <c r="B71" s="1051">
        <v>6.678125</v>
      </c>
      <c r="C71" s="1052">
        <v>8.35625</v>
      </c>
      <c r="D71" s="1052">
        <v>5</v>
      </c>
      <c r="E71" s="1053">
        <v>8</v>
      </c>
      <c r="F71" s="1053">
        <v>5</v>
      </c>
      <c r="G71" s="1053">
        <v>0</v>
      </c>
      <c r="H71" s="1053">
        <v>2</v>
      </c>
      <c r="I71" s="1053">
        <v>2</v>
      </c>
      <c r="J71" s="1053">
        <v>0</v>
      </c>
      <c r="K71" s="1053">
        <v>0</v>
      </c>
      <c r="L71" s="1053">
        <v>0</v>
      </c>
      <c r="M71" s="1053">
        <v>5</v>
      </c>
      <c r="N71" s="1053">
        <v>0</v>
      </c>
      <c r="O71" s="1053">
        <v>0</v>
      </c>
      <c r="P71" s="1053">
        <v>0</v>
      </c>
      <c r="Q71" s="1053">
        <v>0</v>
      </c>
      <c r="R71" s="1053">
        <v>5</v>
      </c>
      <c r="S71" s="1053">
        <v>0</v>
      </c>
      <c r="T71" s="1053">
        <v>0</v>
      </c>
      <c r="U71" s="1053">
        <v>0</v>
      </c>
      <c r="V71" s="1053">
        <v>0</v>
      </c>
      <c r="W71" s="1053">
        <v>0</v>
      </c>
      <c r="X71" s="1053">
        <v>6.75</v>
      </c>
      <c r="Y71" s="1053">
        <v>9.05</v>
      </c>
      <c r="Z71" s="1053">
        <v>7.5</v>
      </c>
      <c r="AA71" s="1053">
        <v>7.25</v>
      </c>
      <c r="AB71" s="1053">
        <v>7.75</v>
      </c>
      <c r="AC71" s="1053">
        <v>10</v>
      </c>
      <c r="AD71" s="1053">
        <v>6.75</v>
      </c>
      <c r="AE71" s="1053">
        <v>9</v>
      </c>
      <c r="AF71" s="1053">
        <v>6</v>
      </c>
      <c r="AG71" s="1053">
        <v>2</v>
      </c>
      <c r="AH71" s="1053">
        <v>5.5</v>
      </c>
      <c r="AI71" s="1053">
        <v>5</v>
      </c>
      <c r="AJ71" s="1053">
        <v>4.25</v>
      </c>
      <c r="AK71" s="1053">
        <v>5</v>
      </c>
      <c r="AL71" s="1053">
        <v>3.5</v>
      </c>
      <c r="AM71" s="1053">
        <v>3</v>
      </c>
      <c r="AN71" s="1053">
        <v>1.5</v>
      </c>
      <c r="AO71" s="1055">
        <v>13</v>
      </c>
      <c r="AP71" s="1056">
        <v>6.1125</v>
      </c>
      <c r="AQ71" s="1057">
        <v>141.554</v>
      </c>
      <c r="AR71" s="1070">
        <v>11.4</v>
      </c>
    </row>
    <row r="72" spans="1:44" ht="20.25">
      <c r="A72" s="1059" t="s">
        <v>108</v>
      </c>
      <c r="B72" s="1051">
        <v>6.848039215686274</v>
      </c>
      <c r="C72" s="1052">
        <v>8.279411764705882</v>
      </c>
      <c r="D72" s="1052">
        <v>5.416666666666667</v>
      </c>
      <c r="E72" s="1053">
        <v>17</v>
      </c>
      <c r="F72" s="1053">
        <v>12</v>
      </c>
      <c r="G72" s="1053">
        <v>6</v>
      </c>
      <c r="H72" s="1053">
        <v>5</v>
      </c>
      <c r="I72" s="1053">
        <v>0</v>
      </c>
      <c r="J72" s="1053">
        <v>0</v>
      </c>
      <c r="K72" s="1053">
        <v>1</v>
      </c>
      <c r="L72" s="1053">
        <v>0</v>
      </c>
      <c r="M72" s="1053">
        <v>7</v>
      </c>
      <c r="N72" s="1053">
        <v>0</v>
      </c>
      <c r="O72" s="1053">
        <v>0</v>
      </c>
      <c r="P72" s="1053">
        <v>0</v>
      </c>
      <c r="Q72" s="1053">
        <v>0</v>
      </c>
      <c r="R72" s="1053">
        <v>13</v>
      </c>
      <c r="S72" s="1053">
        <v>0</v>
      </c>
      <c r="T72" s="1053">
        <v>0</v>
      </c>
      <c r="U72" s="1053">
        <v>0</v>
      </c>
      <c r="V72" s="1053">
        <v>0</v>
      </c>
      <c r="W72" s="1053">
        <v>0</v>
      </c>
      <c r="X72" s="1053">
        <v>6.75</v>
      </c>
      <c r="Y72" s="1053">
        <v>9.05</v>
      </c>
      <c r="Z72" s="1053">
        <v>7.5</v>
      </c>
      <c r="AA72" s="1053">
        <v>7.25</v>
      </c>
      <c r="AB72" s="1053">
        <v>7.75</v>
      </c>
      <c r="AC72" s="1053">
        <v>10</v>
      </c>
      <c r="AD72" s="1053">
        <v>6.75</v>
      </c>
      <c r="AE72" s="1053">
        <v>9</v>
      </c>
      <c r="AF72" s="1053">
        <v>6</v>
      </c>
      <c r="AG72" s="1053">
        <v>2</v>
      </c>
      <c r="AH72" s="1053">
        <v>5.5</v>
      </c>
      <c r="AI72" s="1053">
        <v>5</v>
      </c>
      <c r="AJ72" s="1053">
        <v>4.25</v>
      </c>
      <c r="AK72" s="1053">
        <v>5</v>
      </c>
      <c r="AL72" s="1053">
        <v>3.5</v>
      </c>
      <c r="AM72" s="1053">
        <v>3</v>
      </c>
      <c r="AN72" s="1053">
        <v>1.5</v>
      </c>
      <c r="AO72" s="1055">
        <v>29</v>
      </c>
      <c r="AP72" s="1056">
        <v>6.083823529411765</v>
      </c>
      <c r="AQ72" s="1057">
        <v>141.554</v>
      </c>
      <c r="AR72" s="1070">
        <v>25.3</v>
      </c>
    </row>
    <row r="73" spans="1:44" ht="20.25">
      <c r="A73" s="1059" t="s">
        <v>109</v>
      </c>
      <c r="B73" s="1051">
        <v>6.963888888888889</v>
      </c>
      <c r="C73" s="1052">
        <v>8.094444444444443</v>
      </c>
      <c r="D73" s="1052">
        <v>5.833333333333333</v>
      </c>
      <c r="E73" s="1053">
        <v>9</v>
      </c>
      <c r="F73" s="1053">
        <v>6</v>
      </c>
      <c r="G73" s="1053">
        <v>0</v>
      </c>
      <c r="H73" s="1053">
        <v>2</v>
      </c>
      <c r="I73" s="1053">
        <v>1</v>
      </c>
      <c r="J73" s="1053">
        <v>0</v>
      </c>
      <c r="K73" s="1053">
        <v>0</v>
      </c>
      <c r="L73" s="1053">
        <v>0</v>
      </c>
      <c r="M73" s="1053">
        <v>7</v>
      </c>
      <c r="N73" s="1053">
        <v>0</v>
      </c>
      <c r="O73" s="1053">
        <v>0</v>
      </c>
      <c r="P73" s="1053">
        <v>0</v>
      </c>
      <c r="Q73" s="1053">
        <v>0</v>
      </c>
      <c r="R73" s="1053">
        <v>7</v>
      </c>
      <c r="S73" s="1053">
        <v>0</v>
      </c>
      <c r="T73" s="1053">
        <v>0</v>
      </c>
      <c r="U73" s="1053">
        <v>0</v>
      </c>
      <c r="V73" s="1053">
        <v>0</v>
      </c>
      <c r="W73" s="1053">
        <v>0</v>
      </c>
      <c r="X73" s="1053">
        <v>6.75</v>
      </c>
      <c r="Y73" s="1053">
        <v>9.05</v>
      </c>
      <c r="Z73" s="1053">
        <v>7.5</v>
      </c>
      <c r="AA73" s="1053">
        <v>7.25</v>
      </c>
      <c r="AB73" s="1053">
        <v>7.75</v>
      </c>
      <c r="AC73" s="1053">
        <v>10</v>
      </c>
      <c r="AD73" s="1053">
        <v>6.75</v>
      </c>
      <c r="AE73" s="1053">
        <v>9</v>
      </c>
      <c r="AF73" s="1053">
        <v>6</v>
      </c>
      <c r="AG73" s="1053">
        <v>2</v>
      </c>
      <c r="AH73" s="1053">
        <v>5.5</v>
      </c>
      <c r="AI73" s="1053">
        <v>5</v>
      </c>
      <c r="AJ73" s="1053">
        <v>4.25</v>
      </c>
      <c r="AK73" s="1053">
        <v>5</v>
      </c>
      <c r="AL73" s="1053">
        <v>3.5</v>
      </c>
      <c r="AM73" s="1053">
        <v>3</v>
      </c>
      <c r="AN73" s="1053">
        <v>1.5</v>
      </c>
      <c r="AO73" s="1055">
        <v>15</v>
      </c>
      <c r="AP73" s="1056">
        <v>6.186111111111111</v>
      </c>
      <c r="AQ73" s="1057">
        <v>141.554</v>
      </c>
      <c r="AR73" s="1070">
        <v>13.3</v>
      </c>
    </row>
    <row r="74" spans="1:44" ht="20.25">
      <c r="A74" s="1059" t="s">
        <v>110</v>
      </c>
      <c r="B74" s="1051">
        <v>2.9375</v>
      </c>
      <c r="C74" s="1052">
        <v>3.375</v>
      </c>
      <c r="D74" s="1052">
        <v>2.5</v>
      </c>
      <c r="E74" s="1053">
        <v>2</v>
      </c>
      <c r="F74" s="1053">
        <v>2</v>
      </c>
      <c r="G74" s="1053">
        <v>0</v>
      </c>
      <c r="H74" s="1053">
        <v>0</v>
      </c>
      <c r="I74" s="1053">
        <v>0</v>
      </c>
      <c r="J74" s="1053">
        <v>0</v>
      </c>
      <c r="K74" s="1053">
        <v>0</v>
      </c>
      <c r="L74" s="1053">
        <v>0</v>
      </c>
      <c r="M74" s="1053">
        <v>1</v>
      </c>
      <c r="N74" s="1053">
        <v>0</v>
      </c>
      <c r="O74" s="1053">
        <v>0</v>
      </c>
      <c r="P74" s="1053">
        <v>0</v>
      </c>
      <c r="Q74" s="1053">
        <v>0</v>
      </c>
      <c r="R74" s="1053">
        <v>1</v>
      </c>
      <c r="S74" s="1053">
        <v>0</v>
      </c>
      <c r="T74" s="1053">
        <v>0</v>
      </c>
      <c r="U74" s="1053">
        <v>0</v>
      </c>
      <c r="V74" s="1053">
        <v>0</v>
      </c>
      <c r="W74" s="1053">
        <v>0</v>
      </c>
      <c r="X74" s="1053">
        <v>6.75</v>
      </c>
      <c r="Y74" s="1053">
        <v>9.05</v>
      </c>
      <c r="Z74" s="1053">
        <v>7.5</v>
      </c>
      <c r="AA74" s="1053">
        <v>7.25</v>
      </c>
      <c r="AB74" s="1053">
        <v>7.75</v>
      </c>
      <c r="AC74" s="1053">
        <v>10</v>
      </c>
      <c r="AD74" s="1053">
        <v>6.75</v>
      </c>
      <c r="AE74" s="1053">
        <v>9</v>
      </c>
      <c r="AF74" s="1053">
        <v>6</v>
      </c>
      <c r="AG74" s="1053">
        <v>2</v>
      </c>
      <c r="AH74" s="1053">
        <v>5.5</v>
      </c>
      <c r="AI74" s="1053">
        <v>5</v>
      </c>
      <c r="AJ74" s="1053">
        <v>4.25</v>
      </c>
      <c r="AK74" s="1053">
        <v>5</v>
      </c>
      <c r="AL74" s="1053">
        <v>3.5</v>
      </c>
      <c r="AM74" s="1053">
        <v>3</v>
      </c>
      <c r="AN74" s="1053">
        <v>1.5</v>
      </c>
      <c r="AO74" s="1055">
        <v>4</v>
      </c>
      <c r="AP74" s="1056">
        <v>5.875</v>
      </c>
      <c r="AQ74" s="1057">
        <v>141.554</v>
      </c>
      <c r="AR74" s="1070">
        <v>3.4</v>
      </c>
    </row>
    <row r="75" spans="1:44" ht="40.5">
      <c r="A75" s="1060" t="s">
        <v>484</v>
      </c>
      <c r="B75" s="1051">
        <v>7.4945703825039125</v>
      </c>
      <c r="C75" s="1051">
        <v>8.278923766816144</v>
      </c>
      <c r="D75" s="1051">
        <v>6.710216998191682</v>
      </c>
      <c r="E75" s="1076">
        <v>223</v>
      </c>
      <c r="F75" s="1076">
        <v>553</v>
      </c>
      <c r="G75" s="1076">
        <v>58</v>
      </c>
      <c r="H75" s="1076">
        <v>49</v>
      </c>
      <c r="I75" s="1076">
        <v>35</v>
      </c>
      <c r="J75" s="1076">
        <v>1</v>
      </c>
      <c r="K75" s="1076">
        <v>17</v>
      </c>
      <c r="L75" s="1076">
        <v>9</v>
      </c>
      <c r="M75" s="1076">
        <v>77</v>
      </c>
      <c r="N75" s="1076">
        <v>42</v>
      </c>
      <c r="O75" s="1076">
        <v>35</v>
      </c>
      <c r="P75" s="1076">
        <v>0</v>
      </c>
      <c r="Q75" s="1076">
        <v>153</v>
      </c>
      <c r="R75" s="1076">
        <v>386</v>
      </c>
      <c r="S75" s="1076">
        <v>21</v>
      </c>
      <c r="T75" s="1076">
        <v>23</v>
      </c>
      <c r="U75" s="1076">
        <v>0</v>
      </c>
      <c r="V75" s="1076">
        <v>0</v>
      </c>
      <c r="W75" s="1076">
        <v>98</v>
      </c>
      <c r="X75" s="1076">
        <v>6.75</v>
      </c>
      <c r="Y75" s="1076">
        <v>9.05</v>
      </c>
      <c r="Z75" s="1076">
        <v>7.5</v>
      </c>
      <c r="AA75" s="1076">
        <v>7.25</v>
      </c>
      <c r="AB75" s="1076">
        <v>7.75</v>
      </c>
      <c r="AC75" s="1076">
        <v>10</v>
      </c>
      <c r="AD75" s="1076">
        <v>6.75</v>
      </c>
      <c r="AE75" s="1076">
        <v>9</v>
      </c>
      <c r="AF75" s="1076">
        <v>6</v>
      </c>
      <c r="AG75" s="1076">
        <v>2</v>
      </c>
      <c r="AH75" s="1076">
        <v>5.5</v>
      </c>
      <c r="AI75" s="1076">
        <v>5</v>
      </c>
      <c r="AJ75" s="1076">
        <v>4.25</v>
      </c>
      <c r="AK75" s="1076">
        <v>5</v>
      </c>
      <c r="AL75" s="1076">
        <v>3.5</v>
      </c>
      <c r="AM75" s="1076">
        <v>3</v>
      </c>
      <c r="AN75" s="1076">
        <v>1.5</v>
      </c>
      <c r="AO75" s="1075">
        <v>776</v>
      </c>
      <c r="AP75" s="1077">
        <v>6.053630624640161</v>
      </c>
      <c r="AQ75" s="1074">
        <v>141.554</v>
      </c>
      <c r="AR75" s="1058">
        <v>673.8</v>
      </c>
    </row>
    <row r="76" spans="1:44" ht="40.5">
      <c r="A76" s="1060" t="s">
        <v>111</v>
      </c>
      <c r="B76" s="1051">
        <v>7.454307036247335</v>
      </c>
      <c r="C76" s="1051">
        <v>7.9843283582089555</v>
      </c>
      <c r="D76" s="1051">
        <v>6.924285714285714</v>
      </c>
      <c r="E76" s="1076">
        <v>134</v>
      </c>
      <c r="F76" s="1076">
        <v>350</v>
      </c>
      <c r="G76" s="1076">
        <v>45</v>
      </c>
      <c r="H76" s="1076">
        <v>23</v>
      </c>
      <c r="I76" s="1076">
        <v>8</v>
      </c>
      <c r="J76" s="1076">
        <v>3</v>
      </c>
      <c r="K76" s="1076">
        <v>14</v>
      </c>
      <c r="L76" s="1076">
        <v>1</v>
      </c>
      <c r="M76" s="1076">
        <v>53</v>
      </c>
      <c r="N76" s="1076">
        <v>12</v>
      </c>
      <c r="O76" s="1076">
        <v>18</v>
      </c>
      <c r="P76" s="1076">
        <v>0</v>
      </c>
      <c r="Q76" s="1076">
        <v>119</v>
      </c>
      <c r="R76" s="1076">
        <v>289</v>
      </c>
      <c r="S76" s="1076">
        <v>0</v>
      </c>
      <c r="T76" s="1076">
        <v>3</v>
      </c>
      <c r="U76" s="1076">
        <v>0</v>
      </c>
      <c r="V76" s="1076">
        <v>0</v>
      </c>
      <c r="W76" s="1076">
        <v>62</v>
      </c>
      <c r="X76" s="1076">
        <v>6.75</v>
      </c>
      <c r="Y76" s="1076">
        <v>9.05</v>
      </c>
      <c r="Z76" s="1076">
        <v>7.5</v>
      </c>
      <c r="AA76" s="1076">
        <v>7.25</v>
      </c>
      <c r="AB76" s="1076">
        <v>7.75</v>
      </c>
      <c r="AC76" s="1076">
        <v>10</v>
      </c>
      <c r="AD76" s="1076">
        <v>6.75</v>
      </c>
      <c r="AE76" s="1076">
        <v>9</v>
      </c>
      <c r="AF76" s="1076">
        <v>6</v>
      </c>
      <c r="AG76" s="1076">
        <v>2</v>
      </c>
      <c r="AH76" s="1076">
        <v>5.5</v>
      </c>
      <c r="AI76" s="1076">
        <v>5</v>
      </c>
      <c r="AJ76" s="1076">
        <v>4.25</v>
      </c>
      <c r="AK76" s="1076">
        <v>5</v>
      </c>
      <c r="AL76" s="1076">
        <v>3.5</v>
      </c>
      <c r="AM76" s="1076">
        <v>3</v>
      </c>
      <c r="AN76" s="1076">
        <v>1.5</v>
      </c>
      <c r="AO76" s="1075">
        <v>484</v>
      </c>
      <c r="AP76" s="1077">
        <v>6.271236673773988</v>
      </c>
      <c r="AQ76" s="1074">
        <v>141.554</v>
      </c>
      <c r="AR76" s="1058">
        <v>435.3</v>
      </c>
    </row>
    <row r="77" spans="1:44" ht="20.25">
      <c r="A77" s="1050" t="s">
        <v>485</v>
      </c>
      <c r="B77" s="1051">
        <v>6.869207430422774</v>
      </c>
      <c r="C77" s="1051">
        <v>8.628472222222221</v>
      </c>
      <c r="D77" s="1051">
        <v>5.109942638623327</v>
      </c>
      <c r="E77" s="1076">
        <v>144</v>
      </c>
      <c r="F77" s="1076">
        <v>523</v>
      </c>
      <c r="G77" s="1076">
        <v>32</v>
      </c>
      <c r="H77" s="1076">
        <v>25</v>
      </c>
      <c r="I77" s="1076">
        <v>23</v>
      </c>
      <c r="J77" s="1076">
        <v>0</v>
      </c>
      <c r="K77" s="1076">
        <v>14</v>
      </c>
      <c r="L77" s="1076">
        <v>4</v>
      </c>
      <c r="M77" s="1076">
        <v>71</v>
      </c>
      <c r="N77" s="1076">
        <v>23</v>
      </c>
      <c r="O77" s="1076">
        <v>31</v>
      </c>
      <c r="P77" s="1076">
        <v>0</v>
      </c>
      <c r="Q77" s="1076">
        <v>118</v>
      </c>
      <c r="R77" s="1076">
        <v>280</v>
      </c>
      <c r="S77" s="1076">
        <v>20</v>
      </c>
      <c r="T77" s="1076">
        <v>12</v>
      </c>
      <c r="U77" s="1076">
        <v>0</v>
      </c>
      <c r="V77" s="1076">
        <v>0</v>
      </c>
      <c r="W77" s="1076">
        <v>57</v>
      </c>
      <c r="X77" s="1076">
        <v>6.75</v>
      </c>
      <c r="Y77" s="1076">
        <v>9.05</v>
      </c>
      <c r="Z77" s="1076">
        <v>7.5</v>
      </c>
      <c r="AA77" s="1076">
        <v>7.25</v>
      </c>
      <c r="AB77" s="1076">
        <v>7.75</v>
      </c>
      <c r="AC77" s="1076">
        <v>10</v>
      </c>
      <c r="AD77" s="1076">
        <v>6.75</v>
      </c>
      <c r="AE77" s="1076">
        <v>9</v>
      </c>
      <c r="AF77" s="1076">
        <v>6</v>
      </c>
      <c r="AG77" s="1076">
        <v>2</v>
      </c>
      <c r="AH77" s="1076">
        <v>5.5</v>
      </c>
      <c r="AI77" s="1076">
        <v>5</v>
      </c>
      <c r="AJ77" s="1076">
        <v>4.25</v>
      </c>
      <c r="AK77" s="1076">
        <v>5</v>
      </c>
      <c r="AL77" s="1076">
        <v>3.5</v>
      </c>
      <c r="AM77" s="1076">
        <v>3</v>
      </c>
      <c r="AN77" s="1076">
        <v>1.5</v>
      </c>
      <c r="AO77" s="1075">
        <v>667</v>
      </c>
      <c r="AP77" s="1077">
        <v>6.140379023263225</v>
      </c>
      <c r="AQ77" s="1074">
        <v>141.554</v>
      </c>
      <c r="AR77" s="1058">
        <v>587.4</v>
      </c>
    </row>
    <row r="78" spans="1:44" ht="20.25">
      <c r="A78" s="1050" t="s">
        <v>112</v>
      </c>
      <c r="B78" s="1051">
        <v>6.855308533274635</v>
      </c>
      <c r="C78" s="1051">
        <v>7.569491525423729</v>
      </c>
      <c r="D78" s="1051">
        <v>6.141125541125541</v>
      </c>
      <c r="E78" s="1076">
        <v>295</v>
      </c>
      <c r="F78" s="1076">
        <v>1155</v>
      </c>
      <c r="G78" s="1076">
        <v>58</v>
      </c>
      <c r="H78" s="1076">
        <v>50</v>
      </c>
      <c r="I78" s="1076">
        <v>49</v>
      </c>
      <c r="J78" s="1076">
        <v>0</v>
      </c>
      <c r="K78" s="1076">
        <v>20</v>
      </c>
      <c r="L78" s="1076">
        <v>7</v>
      </c>
      <c r="M78" s="1076">
        <v>118</v>
      </c>
      <c r="N78" s="1076">
        <v>58</v>
      </c>
      <c r="O78" s="1076">
        <v>85</v>
      </c>
      <c r="P78" s="1076">
        <v>0</v>
      </c>
      <c r="Q78" s="1076">
        <v>398</v>
      </c>
      <c r="R78" s="1076">
        <v>692</v>
      </c>
      <c r="S78" s="1076">
        <v>22</v>
      </c>
      <c r="T78" s="1076">
        <v>28</v>
      </c>
      <c r="U78" s="1076">
        <v>0</v>
      </c>
      <c r="V78" s="1076">
        <v>0</v>
      </c>
      <c r="W78" s="1076">
        <v>119</v>
      </c>
      <c r="X78" s="1076">
        <v>6.75</v>
      </c>
      <c r="Y78" s="1076">
        <v>9.05</v>
      </c>
      <c r="Z78" s="1076">
        <v>7.5</v>
      </c>
      <c r="AA78" s="1076">
        <v>7.25</v>
      </c>
      <c r="AB78" s="1076">
        <v>7.75</v>
      </c>
      <c r="AC78" s="1076">
        <v>10</v>
      </c>
      <c r="AD78" s="1076">
        <v>6.75</v>
      </c>
      <c r="AE78" s="1076">
        <v>9</v>
      </c>
      <c r="AF78" s="1076">
        <v>6</v>
      </c>
      <c r="AG78" s="1076">
        <v>2</v>
      </c>
      <c r="AH78" s="1076">
        <v>5.5</v>
      </c>
      <c r="AI78" s="1076">
        <v>5</v>
      </c>
      <c r="AJ78" s="1076">
        <v>4.25</v>
      </c>
      <c r="AK78" s="1076">
        <v>5</v>
      </c>
      <c r="AL78" s="1076">
        <v>3.5</v>
      </c>
      <c r="AM78" s="1076">
        <v>3</v>
      </c>
      <c r="AN78" s="1076">
        <v>1.5</v>
      </c>
      <c r="AO78" s="1075">
        <v>1450</v>
      </c>
      <c r="AP78" s="1077">
        <v>6.197049673490351</v>
      </c>
      <c r="AQ78" s="1074">
        <v>141.554</v>
      </c>
      <c r="AR78" s="1058">
        <v>1288.8</v>
      </c>
    </row>
    <row r="79" spans="1:44" ht="20.25">
      <c r="A79" s="1059" t="s">
        <v>113</v>
      </c>
      <c r="B79" s="1051">
        <v>10.150524475524476</v>
      </c>
      <c r="C79" s="1052">
        <v>12.11923076923077</v>
      </c>
      <c r="D79" s="1052">
        <v>8.181818181818182</v>
      </c>
      <c r="E79" s="1053">
        <v>65</v>
      </c>
      <c r="F79" s="1053">
        <v>33</v>
      </c>
      <c r="G79" s="1053">
        <v>32</v>
      </c>
      <c r="H79" s="1053">
        <v>25</v>
      </c>
      <c r="I79" s="1053">
        <v>18</v>
      </c>
      <c r="J79" s="1053">
        <v>0</v>
      </c>
      <c r="K79" s="1053">
        <v>8</v>
      </c>
      <c r="L79" s="1053">
        <v>0</v>
      </c>
      <c r="M79" s="1053">
        <v>22</v>
      </c>
      <c r="N79" s="1053">
        <v>0</v>
      </c>
      <c r="O79" s="1053">
        <v>0</v>
      </c>
      <c r="P79" s="1053">
        <v>0</v>
      </c>
      <c r="Q79" s="1053">
        <v>0</v>
      </c>
      <c r="R79" s="1053">
        <v>54</v>
      </c>
      <c r="S79" s="1053">
        <v>0</v>
      </c>
      <c r="T79" s="1053">
        <v>0</v>
      </c>
      <c r="U79" s="1053">
        <v>0</v>
      </c>
      <c r="V79" s="1053">
        <v>0</v>
      </c>
      <c r="W79" s="1053">
        <v>0</v>
      </c>
      <c r="X79" s="1053">
        <v>6.75</v>
      </c>
      <c r="Y79" s="1053">
        <v>9.05</v>
      </c>
      <c r="Z79" s="1053">
        <v>7.5</v>
      </c>
      <c r="AA79" s="1053">
        <v>7.25</v>
      </c>
      <c r="AB79" s="1053">
        <v>7.75</v>
      </c>
      <c r="AC79" s="1053">
        <v>10</v>
      </c>
      <c r="AD79" s="1053">
        <v>6.75</v>
      </c>
      <c r="AE79" s="1053">
        <v>9</v>
      </c>
      <c r="AF79" s="1053">
        <v>6</v>
      </c>
      <c r="AG79" s="1053">
        <v>2</v>
      </c>
      <c r="AH79" s="1053">
        <v>5.5</v>
      </c>
      <c r="AI79" s="1053">
        <v>5</v>
      </c>
      <c r="AJ79" s="1053">
        <v>4.25</v>
      </c>
      <c r="AK79" s="1053">
        <v>5</v>
      </c>
      <c r="AL79" s="1053">
        <v>3.5</v>
      </c>
      <c r="AM79" s="1053">
        <v>3</v>
      </c>
      <c r="AN79" s="1053">
        <v>1.5</v>
      </c>
      <c r="AO79" s="1055">
        <v>98</v>
      </c>
      <c r="AP79" s="1056">
        <v>6.194230769230769</v>
      </c>
      <c r="AQ79" s="1057">
        <v>141.554</v>
      </c>
      <c r="AR79" s="1070">
        <v>87.1</v>
      </c>
    </row>
    <row r="80" spans="1:44" ht="20.25">
      <c r="A80" s="1059" t="s">
        <v>114</v>
      </c>
      <c r="B80" s="1051">
        <v>4.124188640973631</v>
      </c>
      <c r="C80" s="1052">
        <v>4.718965517241379</v>
      </c>
      <c r="D80" s="1052">
        <v>3.5294117647058822</v>
      </c>
      <c r="E80" s="1053">
        <v>29</v>
      </c>
      <c r="F80" s="1053">
        <v>17</v>
      </c>
      <c r="G80" s="1053">
        <v>7</v>
      </c>
      <c r="H80" s="1053">
        <v>2</v>
      </c>
      <c r="I80" s="1053">
        <v>4</v>
      </c>
      <c r="J80" s="1053">
        <v>0</v>
      </c>
      <c r="K80" s="1053">
        <v>1</v>
      </c>
      <c r="L80" s="1053">
        <v>0</v>
      </c>
      <c r="M80" s="1053">
        <v>5</v>
      </c>
      <c r="N80" s="1053">
        <v>0</v>
      </c>
      <c r="O80" s="1053">
        <v>0</v>
      </c>
      <c r="P80" s="1053">
        <v>0</v>
      </c>
      <c r="Q80" s="1053">
        <v>0</v>
      </c>
      <c r="R80" s="1053">
        <v>12</v>
      </c>
      <c r="S80" s="1053">
        <v>0</v>
      </c>
      <c r="T80" s="1053">
        <v>0</v>
      </c>
      <c r="U80" s="1053">
        <v>0</v>
      </c>
      <c r="V80" s="1053">
        <v>0</v>
      </c>
      <c r="W80" s="1053">
        <v>0</v>
      </c>
      <c r="X80" s="1053">
        <v>6.75</v>
      </c>
      <c r="Y80" s="1053">
        <v>9.05</v>
      </c>
      <c r="Z80" s="1053">
        <v>7.5</v>
      </c>
      <c r="AA80" s="1053">
        <v>7.25</v>
      </c>
      <c r="AB80" s="1053">
        <v>7.75</v>
      </c>
      <c r="AC80" s="1053">
        <v>10</v>
      </c>
      <c r="AD80" s="1053">
        <v>6.75</v>
      </c>
      <c r="AE80" s="1053">
        <v>9</v>
      </c>
      <c r="AF80" s="1053">
        <v>6</v>
      </c>
      <c r="AG80" s="1053">
        <v>2</v>
      </c>
      <c r="AH80" s="1053">
        <v>5.5</v>
      </c>
      <c r="AI80" s="1053">
        <v>5</v>
      </c>
      <c r="AJ80" s="1053">
        <v>4.25</v>
      </c>
      <c r="AK80" s="1053">
        <v>5</v>
      </c>
      <c r="AL80" s="1053">
        <v>3.5</v>
      </c>
      <c r="AM80" s="1053">
        <v>3</v>
      </c>
      <c r="AN80" s="1053">
        <v>1.5</v>
      </c>
      <c r="AO80" s="1055">
        <v>46</v>
      </c>
      <c r="AP80" s="1056">
        <v>6.15</v>
      </c>
      <c r="AQ80" s="1057">
        <v>141.554</v>
      </c>
      <c r="AR80" s="1070">
        <v>40.6</v>
      </c>
    </row>
    <row r="81" spans="1:44" ht="20.25">
      <c r="A81" s="1050" t="s">
        <v>115</v>
      </c>
      <c r="B81" s="1051">
        <v>6.988967935050025</v>
      </c>
      <c r="C81" s="1051">
        <v>9.76978021978022</v>
      </c>
      <c r="D81" s="1051">
        <v>4.20815565031983</v>
      </c>
      <c r="E81" s="1051">
        <v>182</v>
      </c>
      <c r="F81" s="1074">
        <v>938</v>
      </c>
      <c r="G81" s="1074">
        <v>51</v>
      </c>
      <c r="H81" s="1074">
        <v>32</v>
      </c>
      <c r="I81" s="1074">
        <v>42</v>
      </c>
      <c r="J81" s="1074">
        <v>2</v>
      </c>
      <c r="K81" s="1074">
        <v>22</v>
      </c>
      <c r="L81" s="1074">
        <v>3</v>
      </c>
      <c r="M81" s="1074">
        <v>91</v>
      </c>
      <c r="N81" s="1074">
        <v>19</v>
      </c>
      <c r="O81" s="1074">
        <v>7</v>
      </c>
      <c r="P81" s="1074">
        <v>0</v>
      </c>
      <c r="Q81" s="1074">
        <v>253</v>
      </c>
      <c r="R81" s="1074">
        <v>389</v>
      </c>
      <c r="S81" s="1074">
        <v>19</v>
      </c>
      <c r="T81" s="1074">
        <v>25</v>
      </c>
      <c r="U81" s="1074">
        <v>0</v>
      </c>
      <c r="V81" s="1074">
        <v>0</v>
      </c>
      <c r="W81" s="1074">
        <v>128</v>
      </c>
      <c r="X81" s="1074">
        <v>6.75</v>
      </c>
      <c r="Y81" s="1074">
        <v>9.05</v>
      </c>
      <c r="Z81" s="1074">
        <v>7.5</v>
      </c>
      <c r="AA81" s="1074">
        <v>7.25</v>
      </c>
      <c r="AB81" s="1074">
        <v>7.75</v>
      </c>
      <c r="AC81" s="1074">
        <v>10</v>
      </c>
      <c r="AD81" s="1074">
        <v>6.75</v>
      </c>
      <c r="AE81" s="1074">
        <v>9</v>
      </c>
      <c r="AF81" s="1074">
        <v>6</v>
      </c>
      <c r="AG81" s="1074">
        <v>2</v>
      </c>
      <c r="AH81" s="1074">
        <v>5.5</v>
      </c>
      <c r="AI81" s="1074">
        <v>5</v>
      </c>
      <c r="AJ81" s="1074">
        <v>4.25</v>
      </c>
      <c r="AK81" s="1074">
        <v>5</v>
      </c>
      <c r="AL81" s="1074">
        <v>3.5</v>
      </c>
      <c r="AM81" s="1074">
        <v>3</v>
      </c>
      <c r="AN81" s="1074">
        <v>1.5</v>
      </c>
      <c r="AO81" s="1074">
        <v>1120</v>
      </c>
      <c r="AP81" s="1075">
        <v>6.0635824995899625</v>
      </c>
      <c r="AQ81" s="1074">
        <v>141.554</v>
      </c>
      <c r="AR81" s="1062">
        <v>974</v>
      </c>
    </row>
    <row r="82" spans="1:44" ht="20.25">
      <c r="A82" s="1059" t="s">
        <v>116</v>
      </c>
      <c r="B82" s="1059">
        <v>13.496666666666666</v>
      </c>
      <c r="C82" s="1059">
        <v>18.993333333333332</v>
      </c>
      <c r="D82" s="1059">
        <v>8</v>
      </c>
      <c r="E82" s="1053">
        <v>15</v>
      </c>
      <c r="F82" s="1053">
        <v>5</v>
      </c>
      <c r="G82" s="1053">
        <v>5</v>
      </c>
      <c r="H82" s="1053">
        <v>18</v>
      </c>
      <c r="I82" s="1053">
        <v>7</v>
      </c>
      <c r="J82" s="1053">
        <v>0</v>
      </c>
      <c r="K82" s="1053">
        <v>2</v>
      </c>
      <c r="L82" s="1053">
        <v>0</v>
      </c>
      <c r="M82" s="1053">
        <v>3</v>
      </c>
      <c r="N82" s="1053">
        <v>0</v>
      </c>
      <c r="O82" s="1053">
        <v>0</v>
      </c>
      <c r="P82" s="1053">
        <v>0</v>
      </c>
      <c r="Q82" s="1053">
        <v>0</v>
      </c>
      <c r="R82" s="1053">
        <v>8</v>
      </c>
      <c r="S82" s="1053">
        <v>0</v>
      </c>
      <c r="T82" s="1053">
        <v>0</v>
      </c>
      <c r="U82" s="1053">
        <v>0</v>
      </c>
      <c r="V82" s="1053">
        <v>0</v>
      </c>
      <c r="W82" s="1053">
        <v>0</v>
      </c>
      <c r="X82" s="1053">
        <v>6.75</v>
      </c>
      <c r="Y82" s="1053">
        <v>9.05</v>
      </c>
      <c r="Z82" s="1053">
        <v>7.5</v>
      </c>
      <c r="AA82" s="1053">
        <v>7.25</v>
      </c>
      <c r="AB82" s="1053">
        <v>7.75</v>
      </c>
      <c r="AC82" s="1053">
        <v>10</v>
      </c>
      <c r="AD82" s="1053">
        <v>6.75</v>
      </c>
      <c r="AE82" s="1053">
        <v>9</v>
      </c>
      <c r="AF82" s="1053">
        <v>6</v>
      </c>
      <c r="AG82" s="1053">
        <v>2</v>
      </c>
      <c r="AH82" s="1053">
        <v>5.5</v>
      </c>
      <c r="AI82" s="1053">
        <v>5</v>
      </c>
      <c r="AJ82" s="1053">
        <v>4.25</v>
      </c>
      <c r="AK82" s="1053">
        <v>5</v>
      </c>
      <c r="AL82" s="1053">
        <v>3.5</v>
      </c>
      <c r="AM82" s="1053">
        <v>3</v>
      </c>
      <c r="AN82" s="1053">
        <v>1.5</v>
      </c>
      <c r="AO82" s="1053">
        <v>20</v>
      </c>
      <c r="AP82" s="1055">
        <v>6.288333333333334</v>
      </c>
      <c r="AQ82" s="1057">
        <v>141.554</v>
      </c>
      <c r="AR82" s="1055">
        <v>18</v>
      </c>
    </row>
    <row r="83" spans="1:44" ht="20.25">
      <c r="A83" s="1059" t="s">
        <v>117</v>
      </c>
      <c r="B83" s="1059">
        <v>5.133333333333333</v>
      </c>
      <c r="C83" s="1059">
        <v>5.266666666666667</v>
      </c>
      <c r="D83" s="1059">
        <v>5</v>
      </c>
      <c r="E83" s="1053">
        <v>3</v>
      </c>
      <c r="F83" s="1053">
        <v>1</v>
      </c>
      <c r="G83" s="1053">
        <v>0</v>
      </c>
      <c r="H83" s="1053">
        <v>1</v>
      </c>
      <c r="I83" s="1053">
        <v>0</v>
      </c>
      <c r="J83" s="1053">
        <v>0</v>
      </c>
      <c r="K83" s="1053">
        <v>0</v>
      </c>
      <c r="L83" s="1053">
        <v>0</v>
      </c>
      <c r="M83" s="1053">
        <v>1</v>
      </c>
      <c r="N83" s="1053">
        <v>0</v>
      </c>
      <c r="O83" s="1053">
        <v>0</v>
      </c>
      <c r="P83" s="1053">
        <v>0</v>
      </c>
      <c r="Q83" s="1053">
        <v>0</v>
      </c>
      <c r="R83" s="1053">
        <v>1</v>
      </c>
      <c r="S83" s="1053">
        <v>0</v>
      </c>
      <c r="T83" s="1053">
        <v>0</v>
      </c>
      <c r="U83" s="1053">
        <v>0</v>
      </c>
      <c r="V83" s="1053">
        <v>0</v>
      </c>
      <c r="W83" s="1053">
        <v>0</v>
      </c>
      <c r="X83" s="1053">
        <v>6.75</v>
      </c>
      <c r="Y83" s="1053">
        <v>9.05</v>
      </c>
      <c r="Z83" s="1053">
        <v>7.5</v>
      </c>
      <c r="AA83" s="1053">
        <v>7.25</v>
      </c>
      <c r="AB83" s="1053">
        <v>7.75</v>
      </c>
      <c r="AC83" s="1053">
        <v>10</v>
      </c>
      <c r="AD83" s="1053">
        <v>6.75</v>
      </c>
      <c r="AE83" s="1053">
        <v>9</v>
      </c>
      <c r="AF83" s="1053">
        <v>6</v>
      </c>
      <c r="AG83" s="1053">
        <v>2</v>
      </c>
      <c r="AH83" s="1053">
        <v>5.5</v>
      </c>
      <c r="AI83" s="1053">
        <v>5</v>
      </c>
      <c r="AJ83" s="1053">
        <v>4.25</v>
      </c>
      <c r="AK83" s="1053">
        <v>5</v>
      </c>
      <c r="AL83" s="1053">
        <v>3.5</v>
      </c>
      <c r="AM83" s="1053">
        <v>3</v>
      </c>
      <c r="AN83" s="1053">
        <v>1.5</v>
      </c>
      <c r="AO83" s="1053">
        <v>4</v>
      </c>
      <c r="AP83" s="1055">
        <v>6.64</v>
      </c>
      <c r="AQ83" s="1057">
        <v>141.554</v>
      </c>
      <c r="AR83" s="1055">
        <v>3.8</v>
      </c>
    </row>
    <row r="84" spans="1:44" ht="20.25">
      <c r="A84" s="1050" t="s">
        <v>118</v>
      </c>
      <c r="B84" s="1050">
        <v>8.327752090169552</v>
      </c>
      <c r="C84" s="1050">
        <v>9.253647416413374</v>
      </c>
      <c r="D84" s="1050">
        <v>7.401856763925729</v>
      </c>
      <c r="E84" s="1076">
        <v>329</v>
      </c>
      <c r="F84" s="1076">
        <v>754</v>
      </c>
      <c r="G84" s="1076">
        <v>103</v>
      </c>
      <c r="H84" s="1076">
        <v>84</v>
      </c>
      <c r="I84" s="1076">
        <v>63</v>
      </c>
      <c r="J84" s="1076">
        <v>0</v>
      </c>
      <c r="K84" s="1076">
        <v>34</v>
      </c>
      <c r="L84" s="1076">
        <v>7</v>
      </c>
      <c r="M84" s="1076">
        <v>116</v>
      </c>
      <c r="N84" s="1076">
        <v>39</v>
      </c>
      <c r="O84" s="1076">
        <v>91</v>
      </c>
      <c r="P84" s="1076">
        <v>0</v>
      </c>
      <c r="Q84" s="1076">
        <v>243</v>
      </c>
      <c r="R84" s="1076">
        <v>527</v>
      </c>
      <c r="S84" s="1076">
        <v>46</v>
      </c>
      <c r="T84" s="1076">
        <v>29</v>
      </c>
      <c r="U84" s="1076">
        <v>0</v>
      </c>
      <c r="V84" s="1076">
        <v>0</v>
      </c>
      <c r="W84" s="1076">
        <v>248</v>
      </c>
      <c r="X84" s="1076">
        <v>6.75</v>
      </c>
      <c r="Y84" s="1076">
        <v>9.05</v>
      </c>
      <c r="Z84" s="1076">
        <v>7.5</v>
      </c>
      <c r="AA84" s="1076">
        <v>7.25</v>
      </c>
      <c r="AB84" s="1076">
        <v>7.75</v>
      </c>
      <c r="AC84" s="1076">
        <v>10</v>
      </c>
      <c r="AD84" s="1076">
        <v>6.75</v>
      </c>
      <c r="AE84" s="1076">
        <v>9</v>
      </c>
      <c r="AF84" s="1076">
        <v>6</v>
      </c>
      <c r="AG84" s="1076">
        <v>2</v>
      </c>
      <c r="AH84" s="1076">
        <v>5.5</v>
      </c>
      <c r="AI84" s="1076">
        <v>5</v>
      </c>
      <c r="AJ84" s="1076">
        <v>4.25</v>
      </c>
      <c r="AK84" s="1076">
        <v>5</v>
      </c>
      <c r="AL84" s="1076">
        <v>3.5</v>
      </c>
      <c r="AM84" s="1076">
        <v>3</v>
      </c>
      <c r="AN84" s="1076">
        <v>1.5</v>
      </c>
      <c r="AO84" s="1076">
        <v>1083</v>
      </c>
      <c r="AP84" s="1075">
        <v>6.264652955261905</v>
      </c>
      <c r="AQ84" s="1074">
        <v>141.554</v>
      </c>
      <c r="AR84" s="1075">
        <v>973.1</v>
      </c>
    </row>
    <row r="85" spans="1:44" ht="20.25">
      <c r="A85" s="1059" t="s">
        <v>119</v>
      </c>
      <c r="B85" s="1059">
        <v>11.464285714285715</v>
      </c>
      <c r="C85" s="1059">
        <v>7.928571428571429</v>
      </c>
      <c r="D85" s="1059">
        <v>15</v>
      </c>
      <c r="E85" s="1053">
        <v>7</v>
      </c>
      <c r="F85" s="1053">
        <v>2</v>
      </c>
      <c r="G85" s="1053">
        <v>1</v>
      </c>
      <c r="H85" s="1053">
        <v>0</v>
      </c>
      <c r="I85" s="1053">
        <v>2</v>
      </c>
      <c r="J85" s="1053">
        <v>0</v>
      </c>
      <c r="K85" s="1053">
        <v>0</v>
      </c>
      <c r="L85" s="1053">
        <v>0</v>
      </c>
      <c r="M85" s="1053">
        <v>5</v>
      </c>
      <c r="N85" s="1053">
        <v>0</v>
      </c>
      <c r="O85" s="1053">
        <v>0</v>
      </c>
      <c r="P85" s="1053">
        <v>0</v>
      </c>
      <c r="Q85" s="1053">
        <v>0</v>
      </c>
      <c r="R85" s="1053">
        <v>6</v>
      </c>
      <c r="S85" s="1053">
        <v>0</v>
      </c>
      <c r="T85" s="1053">
        <v>0</v>
      </c>
      <c r="U85" s="1053">
        <v>0</v>
      </c>
      <c r="V85" s="1053">
        <v>0</v>
      </c>
      <c r="W85" s="1053">
        <v>0</v>
      </c>
      <c r="X85" s="1053">
        <v>6.75</v>
      </c>
      <c r="Y85" s="1053">
        <v>9.05</v>
      </c>
      <c r="Z85" s="1053">
        <v>7.5</v>
      </c>
      <c r="AA85" s="1053">
        <v>7.25</v>
      </c>
      <c r="AB85" s="1053">
        <v>7.75</v>
      </c>
      <c r="AC85" s="1053">
        <v>10</v>
      </c>
      <c r="AD85" s="1053">
        <v>6.75</v>
      </c>
      <c r="AE85" s="1053">
        <v>9</v>
      </c>
      <c r="AF85" s="1053">
        <v>6</v>
      </c>
      <c r="AG85" s="1053">
        <v>2</v>
      </c>
      <c r="AH85" s="1053">
        <v>5.5</v>
      </c>
      <c r="AI85" s="1053">
        <v>5</v>
      </c>
      <c r="AJ85" s="1053">
        <v>4.25</v>
      </c>
      <c r="AK85" s="1053">
        <v>5</v>
      </c>
      <c r="AL85" s="1053">
        <v>3.5</v>
      </c>
      <c r="AM85" s="1053">
        <v>3</v>
      </c>
      <c r="AN85" s="1053">
        <v>1.5</v>
      </c>
      <c r="AO85" s="1053">
        <v>9</v>
      </c>
      <c r="AP85" s="1055">
        <v>6.364285714285714</v>
      </c>
      <c r="AQ85" s="1057">
        <v>141.554</v>
      </c>
      <c r="AR85" s="1055">
        <v>8.2</v>
      </c>
    </row>
    <row r="86" spans="1:44" ht="20.25">
      <c r="A86" s="1050" t="s">
        <v>120</v>
      </c>
      <c r="B86" s="1050">
        <v>5.459883540312371</v>
      </c>
      <c r="C86" s="1050">
        <v>7.911284046692607</v>
      </c>
      <c r="D86" s="1050">
        <v>3.008483033932136</v>
      </c>
      <c r="E86" s="1076">
        <v>257</v>
      </c>
      <c r="F86" s="1076">
        <v>1002</v>
      </c>
      <c r="G86" s="1076">
        <v>66</v>
      </c>
      <c r="H86" s="1076">
        <v>44</v>
      </c>
      <c r="I86" s="1076">
        <v>32</v>
      </c>
      <c r="J86" s="1076">
        <v>3</v>
      </c>
      <c r="K86" s="1076">
        <v>24</v>
      </c>
      <c r="L86" s="1076">
        <v>6</v>
      </c>
      <c r="M86" s="1076">
        <v>101</v>
      </c>
      <c r="N86" s="1076">
        <v>16</v>
      </c>
      <c r="O86" s="1076">
        <v>52</v>
      </c>
      <c r="P86" s="1076">
        <v>1</v>
      </c>
      <c r="Q86" s="1076">
        <v>324</v>
      </c>
      <c r="R86" s="1076">
        <v>98</v>
      </c>
      <c r="S86" s="1076">
        <v>6</v>
      </c>
      <c r="T86" s="1076">
        <v>20</v>
      </c>
      <c r="U86" s="1076">
        <v>0</v>
      </c>
      <c r="V86" s="1076">
        <v>0</v>
      </c>
      <c r="W86" s="1076">
        <v>106</v>
      </c>
      <c r="X86" s="1076">
        <v>6.75</v>
      </c>
      <c r="Y86" s="1076">
        <v>9.05</v>
      </c>
      <c r="Z86" s="1076">
        <v>7.5</v>
      </c>
      <c r="AA86" s="1076">
        <v>7.25</v>
      </c>
      <c r="AB86" s="1076">
        <v>7.75</v>
      </c>
      <c r="AC86" s="1076">
        <v>10</v>
      </c>
      <c r="AD86" s="1076">
        <v>6.75</v>
      </c>
      <c r="AE86" s="1076">
        <v>9</v>
      </c>
      <c r="AF86" s="1076">
        <v>6</v>
      </c>
      <c r="AG86" s="1076">
        <v>2</v>
      </c>
      <c r="AH86" s="1076">
        <v>5.5</v>
      </c>
      <c r="AI86" s="1076">
        <v>5</v>
      </c>
      <c r="AJ86" s="1076">
        <v>4.25</v>
      </c>
      <c r="AK86" s="1076">
        <v>5</v>
      </c>
      <c r="AL86" s="1076">
        <v>3.5</v>
      </c>
      <c r="AM86" s="1076">
        <v>3</v>
      </c>
      <c r="AN86" s="1076">
        <v>1.5</v>
      </c>
      <c r="AO86" s="1076">
        <v>1259</v>
      </c>
      <c r="AP86" s="1075">
        <v>6.093841014469117</v>
      </c>
      <c r="AQ86" s="1074">
        <v>141.554</v>
      </c>
      <c r="AR86" s="1075">
        <v>1100.4</v>
      </c>
    </row>
    <row r="87" spans="1:44" ht="20.25">
      <c r="A87" s="1059" t="s">
        <v>121</v>
      </c>
      <c r="B87" s="1059">
        <v>7.848809523809524</v>
      </c>
      <c r="C87" s="1059">
        <v>9.269047619047619</v>
      </c>
      <c r="D87" s="1059">
        <v>6.428571428571429</v>
      </c>
      <c r="E87" s="1053">
        <v>21</v>
      </c>
      <c r="F87" s="1053">
        <v>14</v>
      </c>
      <c r="G87" s="1053">
        <v>3</v>
      </c>
      <c r="H87" s="1053">
        <v>3</v>
      </c>
      <c r="I87" s="1053">
        <v>2</v>
      </c>
      <c r="J87" s="1053">
        <v>0</v>
      </c>
      <c r="K87" s="1053">
        <v>4</v>
      </c>
      <c r="L87" s="1053">
        <v>0</v>
      </c>
      <c r="M87" s="1053">
        <v>15</v>
      </c>
      <c r="N87" s="1053">
        <v>0</v>
      </c>
      <c r="O87" s="1053">
        <v>0</v>
      </c>
      <c r="P87" s="1053">
        <v>0</v>
      </c>
      <c r="Q87" s="1053">
        <v>0</v>
      </c>
      <c r="R87" s="1053">
        <v>18</v>
      </c>
      <c r="S87" s="1053">
        <v>0</v>
      </c>
      <c r="T87" s="1053">
        <v>0</v>
      </c>
      <c r="U87" s="1053">
        <v>0</v>
      </c>
      <c r="V87" s="1053">
        <v>0</v>
      </c>
      <c r="W87" s="1053">
        <v>0</v>
      </c>
      <c r="X87" s="1053">
        <v>6.75</v>
      </c>
      <c r="Y87" s="1053">
        <v>9.05</v>
      </c>
      <c r="Z87" s="1053">
        <v>7.5</v>
      </c>
      <c r="AA87" s="1053">
        <v>7.25</v>
      </c>
      <c r="AB87" s="1053">
        <v>7.75</v>
      </c>
      <c r="AC87" s="1053">
        <v>10</v>
      </c>
      <c r="AD87" s="1053">
        <v>6.75</v>
      </c>
      <c r="AE87" s="1053">
        <v>9</v>
      </c>
      <c r="AF87" s="1053">
        <v>6</v>
      </c>
      <c r="AG87" s="1053">
        <v>2</v>
      </c>
      <c r="AH87" s="1053">
        <v>5.5</v>
      </c>
      <c r="AI87" s="1053">
        <v>5</v>
      </c>
      <c r="AJ87" s="1053">
        <v>4.25</v>
      </c>
      <c r="AK87" s="1053">
        <v>5</v>
      </c>
      <c r="AL87" s="1053">
        <v>3.5</v>
      </c>
      <c r="AM87" s="1053">
        <v>3</v>
      </c>
      <c r="AN87" s="1053">
        <v>1.5</v>
      </c>
      <c r="AO87" s="1053">
        <v>35</v>
      </c>
      <c r="AP87" s="1055">
        <v>6.085714285714285</v>
      </c>
      <c r="AQ87" s="1057">
        <v>141.554</v>
      </c>
      <c r="AR87" s="1055">
        <v>30.5</v>
      </c>
    </row>
    <row r="88" spans="1:44" ht="20.25">
      <c r="A88" s="1059" t="s">
        <v>122</v>
      </c>
      <c r="B88" s="1059">
        <v>20.222934472934476</v>
      </c>
      <c r="C88" s="1059">
        <v>23.90740740740741</v>
      </c>
      <c r="D88" s="1059">
        <v>16.53846153846154</v>
      </c>
      <c r="E88" s="1053">
        <v>27</v>
      </c>
      <c r="F88" s="1053">
        <v>13</v>
      </c>
      <c r="G88" s="1053">
        <v>22</v>
      </c>
      <c r="H88" s="1053">
        <v>15</v>
      </c>
      <c r="I88" s="1053">
        <v>21</v>
      </c>
      <c r="J88" s="1053">
        <v>0</v>
      </c>
      <c r="K88" s="1053">
        <v>8</v>
      </c>
      <c r="L88" s="1053">
        <v>0</v>
      </c>
      <c r="M88" s="1053">
        <v>21</v>
      </c>
      <c r="N88" s="1053">
        <v>0</v>
      </c>
      <c r="O88" s="1053">
        <v>0</v>
      </c>
      <c r="P88" s="1053">
        <v>0</v>
      </c>
      <c r="Q88" s="1053">
        <v>0</v>
      </c>
      <c r="R88" s="1053">
        <v>43</v>
      </c>
      <c r="S88" s="1053">
        <v>0</v>
      </c>
      <c r="T88" s="1053">
        <v>0</v>
      </c>
      <c r="U88" s="1053">
        <v>0</v>
      </c>
      <c r="V88" s="1053">
        <v>0</v>
      </c>
      <c r="W88" s="1053">
        <v>0</v>
      </c>
      <c r="X88" s="1053">
        <v>6.75</v>
      </c>
      <c r="Y88" s="1053">
        <v>9.05</v>
      </c>
      <c r="Z88" s="1053">
        <v>7.5</v>
      </c>
      <c r="AA88" s="1053">
        <v>7.25</v>
      </c>
      <c r="AB88" s="1053">
        <v>7.75</v>
      </c>
      <c r="AC88" s="1053">
        <v>10</v>
      </c>
      <c r="AD88" s="1053">
        <v>6.75</v>
      </c>
      <c r="AE88" s="1053">
        <v>9</v>
      </c>
      <c r="AF88" s="1053">
        <v>6</v>
      </c>
      <c r="AG88" s="1053">
        <v>2</v>
      </c>
      <c r="AH88" s="1053">
        <v>5.5</v>
      </c>
      <c r="AI88" s="1053">
        <v>5</v>
      </c>
      <c r="AJ88" s="1053">
        <v>4.25</v>
      </c>
      <c r="AK88" s="1053">
        <v>5</v>
      </c>
      <c r="AL88" s="1053">
        <v>3.5</v>
      </c>
      <c r="AM88" s="1053">
        <v>3</v>
      </c>
      <c r="AN88" s="1053">
        <v>1.5</v>
      </c>
      <c r="AO88" s="1053">
        <v>40</v>
      </c>
      <c r="AP88" s="1055">
        <v>6.332407407407407</v>
      </c>
      <c r="AQ88" s="1057">
        <v>141.554</v>
      </c>
      <c r="AR88" s="1055">
        <v>36.3</v>
      </c>
    </row>
    <row r="89" spans="1:44" ht="20.25">
      <c r="A89" s="1059" t="s">
        <v>123</v>
      </c>
      <c r="B89" s="1059">
        <v>9.34396404109589</v>
      </c>
      <c r="C89" s="1059">
        <v>10.719178082191782</v>
      </c>
      <c r="D89" s="1059">
        <v>7.96875</v>
      </c>
      <c r="E89" s="1053">
        <v>73</v>
      </c>
      <c r="F89" s="1053">
        <v>32</v>
      </c>
      <c r="G89" s="1053">
        <v>22</v>
      </c>
      <c r="H89" s="1053">
        <v>25</v>
      </c>
      <c r="I89" s="1053">
        <v>20</v>
      </c>
      <c r="J89" s="1053">
        <v>0</v>
      </c>
      <c r="K89" s="1053">
        <v>8</v>
      </c>
      <c r="L89" s="1053">
        <v>0</v>
      </c>
      <c r="M89" s="1053">
        <v>29</v>
      </c>
      <c r="N89" s="1053">
        <v>0</v>
      </c>
      <c r="O89" s="1053">
        <v>0</v>
      </c>
      <c r="P89" s="1053">
        <v>0</v>
      </c>
      <c r="Q89" s="1053">
        <v>0</v>
      </c>
      <c r="R89" s="1053">
        <v>51</v>
      </c>
      <c r="S89" s="1053">
        <v>0</v>
      </c>
      <c r="T89" s="1053">
        <v>0</v>
      </c>
      <c r="U89" s="1053">
        <v>0</v>
      </c>
      <c r="V89" s="1053">
        <v>0</v>
      </c>
      <c r="W89" s="1053">
        <v>0</v>
      </c>
      <c r="X89" s="1053">
        <v>6.75</v>
      </c>
      <c r="Y89" s="1053">
        <v>9.05</v>
      </c>
      <c r="Z89" s="1053">
        <v>7.5</v>
      </c>
      <c r="AA89" s="1053">
        <v>7.25</v>
      </c>
      <c r="AB89" s="1053">
        <v>7.75</v>
      </c>
      <c r="AC89" s="1053">
        <v>10</v>
      </c>
      <c r="AD89" s="1053">
        <v>6.75</v>
      </c>
      <c r="AE89" s="1053">
        <v>9</v>
      </c>
      <c r="AF89" s="1053">
        <v>6</v>
      </c>
      <c r="AG89" s="1053">
        <v>2</v>
      </c>
      <c r="AH89" s="1053">
        <v>5.5</v>
      </c>
      <c r="AI89" s="1053">
        <v>5</v>
      </c>
      <c r="AJ89" s="1053">
        <v>4.25</v>
      </c>
      <c r="AK89" s="1053">
        <v>5</v>
      </c>
      <c r="AL89" s="1053">
        <v>3.5</v>
      </c>
      <c r="AM89" s="1053">
        <v>3</v>
      </c>
      <c r="AN89" s="1053">
        <v>1.5</v>
      </c>
      <c r="AO89" s="1053">
        <v>105</v>
      </c>
      <c r="AP89" s="1055">
        <v>6.286986301369863</v>
      </c>
      <c r="AQ89" s="1057">
        <v>141.554</v>
      </c>
      <c r="AR89" s="1055">
        <v>94.7</v>
      </c>
    </row>
    <row r="90" spans="1:44" ht="20.25">
      <c r="A90" s="1059" t="s">
        <v>13</v>
      </c>
      <c r="B90" s="1059"/>
      <c r="C90" s="1059"/>
      <c r="D90" s="1059"/>
      <c r="E90" s="1053">
        <v>7012</v>
      </c>
      <c r="F90" s="1053">
        <v>15405</v>
      </c>
      <c r="G90" s="1053">
        <v>1982</v>
      </c>
      <c r="H90" s="1053">
        <v>1545</v>
      </c>
      <c r="I90" s="1053">
        <v>1145</v>
      </c>
      <c r="J90" s="1053">
        <v>47</v>
      </c>
      <c r="K90" s="1053">
        <v>567</v>
      </c>
      <c r="L90" s="1053">
        <v>134</v>
      </c>
      <c r="M90" s="1053">
        <v>2168</v>
      </c>
      <c r="N90" s="1053">
        <v>429</v>
      </c>
      <c r="O90" s="1053">
        <v>1135</v>
      </c>
      <c r="P90" s="1053">
        <v>1</v>
      </c>
      <c r="Q90" s="1053">
        <v>3846</v>
      </c>
      <c r="R90" s="1053">
        <v>8952</v>
      </c>
      <c r="S90" s="1053">
        <v>269</v>
      </c>
      <c r="T90" s="1053">
        <v>431</v>
      </c>
      <c r="U90" s="1053">
        <v>0</v>
      </c>
      <c r="V90" s="1053">
        <v>0</v>
      </c>
      <c r="W90" s="1053">
        <v>1985</v>
      </c>
      <c r="X90" s="1053">
        <v>189</v>
      </c>
      <c r="Y90" s="1053">
        <v>253.40000000000012</v>
      </c>
      <c r="Z90" s="1053">
        <v>210</v>
      </c>
      <c r="AA90" s="1053">
        <v>203</v>
      </c>
      <c r="AB90" s="1053">
        <v>217</v>
      </c>
      <c r="AC90" s="1053">
        <v>280</v>
      </c>
      <c r="AD90" s="1053">
        <v>189</v>
      </c>
      <c r="AE90" s="1053">
        <v>252</v>
      </c>
      <c r="AF90" s="1053">
        <v>168</v>
      </c>
      <c r="AG90" s="1053">
        <v>56</v>
      </c>
      <c r="AH90" s="1053">
        <v>154</v>
      </c>
      <c r="AI90" s="1053">
        <v>140</v>
      </c>
      <c r="AJ90" s="1053">
        <v>119</v>
      </c>
      <c r="AK90" s="1053">
        <v>140</v>
      </c>
      <c r="AL90" s="1053">
        <v>98</v>
      </c>
      <c r="AM90" s="1053">
        <v>84</v>
      </c>
      <c r="AN90" s="1053">
        <v>42</v>
      </c>
      <c r="AO90" s="1053">
        <v>22417</v>
      </c>
      <c r="AP90" s="1053"/>
      <c r="AQ90" s="1057"/>
      <c r="AR90" s="1055">
        <f>SUM(AR65:AR89)</f>
        <v>19846.699999999993</v>
      </c>
    </row>
  </sheetData>
  <sheetProtection/>
  <mergeCells count="3">
    <mergeCell ref="A1:AR1"/>
    <mergeCell ref="A32:AR32"/>
    <mergeCell ref="A62:AR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2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32.75390625" style="1102" customWidth="1"/>
    <col min="2" max="2" width="13.875" style="0" customWidth="1"/>
    <col min="3" max="3" width="19.125" style="0" customWidth="1"/>
    <col min="4" max="4" width="14.625" style="0" customWidth="1"/>
    <col min="5" max="5" width="15.875" style="0" customWidth="1"/>
    <col min="6" max="6" width="0" style="0" hidden="1" customWidth="1"/>
    <col min="7" max="7" width="22.375" style="0" customWidth="1"/>
    <col min="8" max="8" width="21.375" style="0" customWidth="1"/>
    <col min="9" max="9" width="26.125" style="0" customWidth="1"/>
  </cols>
  <sheetData>
    <row r="1" spans="1:9" ht="33" customHeight="1">
      <c r="A1" s="1297" t="s">
        <v>62</v>
      </c>
      <c r="B1" s="1297"/>
      <c r="C1" s="1297"/>
      <c r="D1" s="1297"/>
      <c r="E1" s="1297"/>
      <c r="F1" s="1297"/>
      <c r="G1" s="1297"/>
      <c r="H1" s="1297"/>
      <c r="I1" s="1297"/>
    </row>
    <row r="2" spans="1:7" ht="12.75">
      <c r="A2" s="38"/>
      <c r="B2" s="38"/>
      <c r="C2" s="39"/>
      <c r="D2" s="39"/>
      <c r="E2" s="40"/>
      <c r="F2" s="41"/>
      <c r="G2" s="42"/>
    </row>
    <row r="3" spans="1:9" ht="15.75">
      <c r="A3" s="1298" t="s">
        <v>29</v>
      </c>
      <c r="B3" s="1299" t="s">
        <v>131</v>
      </c>
      <c r="C3" s="1300"/>
      <c r="D3" s="1300"/>
      <c r="E3" s="1300"/>
      <c r="F3" s="1300"/>
      <c r="G3" s="182"/>
      <c r="H3" s="99" t="s">
        <v>132</v>
      </c>
      <c r="I3" s="99" t="s">
        <v>170</v>
      </c>
    </row>
    <row r="4" spans="1:9" ht="147.75" customHeight="1">
      <c r="A4" s="1298"/>
      <c r="B4" s="43" t="s">
        <v>63</v>
      </c>
      <c r="C4" s="43" t="s">
        <v>64</v>
      </c>
      <c r="D4" s="44" t="s">
        <v>65</v>
      </c>
      <c r="E4" s="44" t="s">
        <v>66</v>
      </c>
      <c r="F4" s="44" t="s">
        <v>67</v>
      </c>
      <c r="G4" s="44" t="s">
        <v>68</v>
      </c>
      <c r="H4" s="44" t="s">
        <v>68</v>
      </c>
      <c r="I4" s="44" t="s">
        <v>68</v>
      </c>
    </row>
    <row r="5" spans="1:9" ht="12.75">
      <c r="A5" s="45">
        <v>1</v>
      </c>
      <c r="B5" s="45"/>
      <c r="C5" s="45">
        <v>2</v>
      </c>
      <c r="D5" s="45"/>
      <c r="E5" s="45">
        <v>3</v>
      </c>
      <c r="F5" s="45">
        <v>4</v>
      </c>
      <c r="G5" s="46"/>
      <c r="H5" s="97"/>
      <c r="I5" s="97"/>
    </row>
    <row r="6" spans="1:9" ht="25.5">
      <c r="A6" s="47" t="s">
        <v>481</v>
      </c>
      <c r="B6" s="1301">
        <v>5246</v>
      </c>
      <c r="C6" s="48">
        <v>501</v>
      </c>
      <c r="D6" s="1304">
        <v>11.45</v>
      </c>
      <c r="E6" s="49">
        <v>1</v>
      </c>
      <c r="F6" s="50">
        <f>F8</f>
        <v>0</v>
      </c>
      <c r="G6" s="50">
        <v>459.2</v>
      </c>
      <c r="H6" s="50">
        <v>468.9</v>
      </c>
      <c r="I6" s="50">
        <v>440.8</v>
      </c>
    </row>
    <row r="7" spans="1:9" ht="36" customHeight="1">
      <c r="A7" s="57" t="s">
        <v>482</v>
      </c>
      <c r="B7" s="1302"/>
      <c r="C7" s="62">
        <v>72</v>
      </c>
      <c r="D7" s="1305"/>
      <c r="E7" s="51">
        <v>0.25</v>
      </c>
      <c r="F7" s="51" t="e">
        <f>SUM(#REF!)</f>
        <v>#REF!</v>
      </c>
      <c r="G7" s="52">
        <v>114.5</v>
      </c>
      <c r="H7" s="52">
        <v>114.5</v>
      </c>
      <c r="I7" s="52">
        <v>109.9</v>
      </c>
    </row>
    <row r="8" spans="1:9" ht="12.75">
      <c r="A8" s="1099"/>
      <c r="B8" s="1302"/>
      <c r="C8" s="54"/>
      <c r="D8" s="1305"/>
      <c r="E8" s="55"/>
      <c r="F8" s="56">
        <f>$B$6/$D$6*E8</f>
        <v>0</v>
      </c>
      <c r="G8" s="98"/>
      <c r="H8" s="98"/>
      <c r="I8" s="98"/>
    </row>
    <row r="9" spans="1:9" ht="38.25">
      <c r="A9" s="57" t="s">
        <v>70</v>
      </c>
      <c r="B9" s="1302"/>
      <c r="C9" s="58">
        <f>SUM(C11:C15)</f>
        <v>535</v>
      </c>
      <c r="D9" s="1305"/>
      <c r="E9" s="51">
        <f>SUM(E11:E15)</f>
        <v>1.4000000000000004</v>
      </c>
      <c r="F9" s="51">
        <f>SUM(F11:F15)</f>
        <v>641.4323144104804</v>
      </c>
      <c r="G9" s="52">
        <f>SUM(G11:G15)</f>
        <v>641.1999999999999</v>
      </c>
      <c r="H9" s="52">
        <f>SUM(H11:H15)</f>
        <v>661.1999999999998</v>
      </c>
      <c r="I9" s="52">
        <f>SUM(I11:I15)</f>
        <v>618.5999999999999</v>
      </c>
    </row>
    <row r="10" spans="1:9" ht="15">
      <c r="A10" s="1100" t="s">
        <v>69</v>
      </c>
      <c r="B10" s="1302"/>
      <c r="C10" s="59"/>
      <c r="D10" s="1305"/>
      <c r="E10" s="60"/>
      <c r="F10" s="61"/>
      <c r="G10" s="50"/>
      <c r="H10" s="50"/>
      <c r="I10" s="50"/>
    </row>
    <row r="11" spans="1:9" ht="12.75">
      <c r="A11" s="1099" t="s">
        <v>71</v>
      </c>
      <c r="B11" s="1302"/>
      <c r="C11" s="54">
        <v>503</v>
      </c>
      <c r="D11" s="1305"/>
      <c r="E11" s="55">
        <v>1</v>
      </c>
      <c r="F11" s="56">
        <f>$B$6/$D$6*E11</f>
        <v>458.16593886462886</v>
      </c>
      <c r="G11" s="98">
        <v>458</v>
      </c>
      <c r="H11" s="98">
        <v>478</v>
      </c>
      <c r="I11" s="98">
        <f>439.7+2.9</f>
        <v>442.59999999999997</v>
      </c>
    </row>
    <row r="12" spans="1:9" ht="12.75">
      <c r="A12" s="1099" t="s">
        <v>72</v>
      </c>
      <c r="B12" s="1302"/>
      <c r="C12" s="54">
        <v>7</v>
      </c>
      <c r="D12" s="1305"/>
      <c r="E12" s="55">
        <v>0.1</v>
      </c>
      <c r="F12" s="56">
        <f>$B$6/$D$6*E12</f>
        <v>45.81659388646289</v>
      </c>
      <c r="G12" s="98">
        <v>45.8</v>
      </c>
      <c r="H12" s="98">
        <v>45.8</v>
      </c>
      <c r="I12" s="98">
        <v>44</v>
      </c>
    </row>
    <row r="13" spans="1:9" ht="12.75">
      <c r="A13" s="1099" t="s">
        <v>73</v>
      </c>
      <c r="B13" s="1302"/>
      <c r="C13" s="54">
        <v>10</v>
      </c>
      <c r="D13" s="1305"/>
      <c r="E13" s="55">
        <v>0.1</v>
      </c>
      <c r="F13" s="56">
        <f>$B$6/$D$6*E13</f>
        <v>45.81659388646289</v>
      </c>
      <c r="G13" s="98">
        <v>45.8</v>
      </c>
      <c r="H13" s="98">
        <v>45.8</v>
      </c>
      <c r="I13" s="98">
        <v>44</v>
      </c>
    </row>
    <row r="14" spans="1:9" ht="12.75">
      <c r="A14" s="1099" t="s">
        <v>74</v>
      </c>
      <c r="B14" s="1302"/>
      <c r="C14" s="54">
        <v>4</v>
      </c>
      <c r="D14" s="1305"/>
      <c r="E14" s="55">
        <v>0.1</v>
      </c>
      <c r="F14" s="56">
        <f>$B$6/$D$6*E14</f>
        <v>45.81659388646289</v>
      </c>
      <c r="G14" s="98">
        <v>45.8</v>
      </c>
      <c r="H14" s="98">
        <v>45.8</v>
      </c>
      <c r="I14" s="98">
        <v>44</v>
      </c>
    </row>
    <row r="15" spans="1:9" ht="12.75">
      <c r="A15" s="1099" t="s">
        <v>75</v>
      </c>
      <c r="B15" s="1302"/>
      <c r="C15" s="54">
        <v>11</v>
      </c>
      <c r="D15" s="1305"/>
      <c r="E15" s="55">
        <v>0.1</v>
      </c>
      <c r="F15" s="56">
        <f>$B$6/$D$6*E15</f>
        <v>45.81659388646289</v>
      </c>
      <c r="G15" s="98">
        <v>45.8</v>
      </c>
      <c r="H15" s="98">
        <v>45.8</v>
      </c>
      <c r="I15" s="98">
        <v>44</v>
      </c>
    </row>
    <row r="16" spans="1:9" ht="38.25">
      <c r="A16" s="57" t="s">
        <v>76</v>
      </c>
      <c r="B16" s="1302"/>
      <c r="C16" s="62">
        <f>SUM(C18:C19)</f>
        <v>645</v>
      </c>
      <c r="D16" s="1305"/>
      <c r="E16" s="51">
        <f>SUM(E18:E19)</f>
        <v>1.25</v>
      </c>
      <c r="F16" s="51">
        <f>SUM(F18:F19)</f>
        <v>572.7074235807861</v>
      </c>
      <c r="G16" s="52">
        <f>SUM(G18:G19)</f>
        <v>572.6</v>
      </c>
      <c r="H16" s="52">
        <f>SUM(H18:H19)</f>
        <v>572.6</v>
      </c>
      <c r="I16" s="52">
        <f>SUM(I18:I19)</f>
        <v>549.7</v>
      </c>
    </row>
    <row r="17" spans="1:9" ht="15">
      <c r="A17" s="1100" t="s">
        <v>69</v>
      </c>
      <c r="B17" s="1302"/>
      <c r="C17" s="63"/>
      <c r="D17" s="1305"/>
      <c r="E17" s="60"/>
      <c r="F17" s="61"/>
      <c r="G17" s="50"/>
      <c r="H17" s="50"/>
      <c r="I17" s="50"/>
    </row>
    <row r="18" spans="1:9" ht="12.75">
      <c r="A18" s="1099" t="s">
        <v>77</v>
      </c>
      <c r="B18" s="1302"/>
      <c r="C18" s="54">
        <v>441</v>
      </c>
      <c r="D18" s="1305"/>
      <c r="E18" s="55">
        <v>0.75</v>
      </c>
      <c r="F18" s="56">
        <f>$B$6/$D$6*E18</f>
        <v>343.6244541484716</v>
      </c>
      <c r="G18" s="98">
        <v>343.5</v>
      </c>
      <c r="H18" s="98">
        <v>343.5</v>
      </c>
      <c r="I18" s="98">
        <v>329.8</v>
      </c>
    </row>
    <row r="19" spans="1:9" ht="12.75">
      <c r="A19" s="1099" t="s">
        <v>78</v>
      </c>
      <c r="B19" s="1302"/>
      <c r="C19" s="54">
        <v>204</v>
      </c>
      <c r="D19" s="1305"/>
      <c r="E19" s="55">
        <v>0.5</v>
      </c>
      <c r="F19" s="56">
        <f>$B$6/$D$6*E19</f>
        <v>229.08296943231443</v>
      </c>
      <c r="G19" s="98">
        <v>229.1</v>
      </c>
      <c r="H19" s="98">
        <v>229.1</v>
      </c>
      <c r="I19" s="98">
        <v>219.9</v>
      </c>
    </row>
    <row r="20" spans="1:9" ht="38.25">
      <c r="A20" s="57" t="s">
        <v>79</v>
      </c>
      <c r="B20" s="1302"/>
      <c r="C20" s="58">
        <f>SUM(C22:C24)</f>
        <v>248</v>
      </c>
      <c r="D20" s="1305"/>
      <c r="E20" s="51">
        <f>SUM(E22:E24)</f>
        <v>0.7</v>
      </c>
      <c r="F20" s="51">
        <f>SUM(F22:F24)</f>
        <v>320.7161572052402</v>
      </c>
      <c r="G20" s="52">
        <f>SUM(G22:G24)</f>
        <v>320.7</v>
      </c>
      <c r="H20" s="52">
        <f>SUM(H22:H24)</f>
        <v>320.7</v>
      </c>
      <c r="I20" s="52">
        <f>SUM(I22:I24)</f>
        <v>307.9</v>
      </c>
    </row>
    <row r="21" spans="1:9" ht="15">
      <c r="A21" s="1100" t="s">
        <v>69</v>
      </c>
      <c r="B21" s="1302"/>
      <c r="C21" s="59"/>
      <c r="D21" s="1305"/>
      <c r="E21" s="60"/>
      <c r="F21" s="61"/>
      <c r="G21" s="50"/>
      <c r="H21" s="50"/>
      <c r="I21" s="50"/>
    </row>
    <row r="22" spans="1:9" ht="12.75">
      <c r="A22" s="1099" t="s">
        <v>80</v>
      </c>
      <c r="B22" s="1302"/>
      <c r="C22" s="54">
        <v>36</v>
      </c>
      <c r="D22" s="1305"/>
      <c r="E22" s="55">
        <v>0.1</v>
      </c>
      <c r="F22" s="56">
        <f>$B$6/$D$6*E22</f>
        <v>45.81659388646289</v>
      </c>
      <c r="G22" s="98">
        <v>45.8</v>
      </c>
      <c r="H22" s="98">
        <v>45.8</v>
      </c>
      <c r="I22" s="98">
        <v>44</v>
      </c>
    </row>
    <row r="23" spans="1:9" ht="12.75">
      <c r="A23" s="1099" t="s">
        <v>81</v>
      </c>
      <c r="B23" s="1302"/>
      <c r="C23" s="54">
        <v>31</v>
      </c>
      <c r="D23" s="1305"/>
      <c r="E23" s="55">
        <v>0.1</v>
      </c>
      <c r="F23" s="56">
        <f>$B$6/$D$6*E23</f>
        <v>45.81659388646289</v>
      </c>
      <c r="G23" s="98">
        <v>45.8</v>
      </c>
      <c r="H23" s="98">
        <v>45.8</v>
      </c>
      <c r="I23" s="98">
        <v>44</v>
      </c>
    </row>
    <row r="24" spans="1:9" ht="12.75">
      <c r="A24" s="1099" t="s">
        <v>82</v>
      </c>
      <c r="B24" s="1302"/>
      <c r="C24" s="54">
        <v>181</v>
      </c>
      <c r="D24" s="1305"/>
      <c r="E24" s="55">
        <v>0.5</v>
      </c>
      <c r="F24" s="56">
        <f>$B$6/$D$6*E24</f>
        <v>229.08296943231443</v>
      </c>
      <c r="G24" s="98">
        <v>229.1</v>
      </c>
      <c r="H24" s="98">
        <v>229.1</v>
      </c>
      <c r="I24" s="98">
        <v>219.9</v>
      </c>
    </row>
    <row r="25" spans="1:9" ht="38.25">
      <c r="A25" s="57" t="s">
        <v>83</v>
      </c>
      <c r="B25" s="1302"/>
      <c r="C25" s="58">
        <f>SUM(C27:C34)</f>
        <v>1056</v>
      </c>
      <c r="D25" s="1305"/>
      <c r="E25" s="51">
        <f>SUM(E27:E34)</f>
        <v>2.85</v>
      </c>
      <c r="F25" s="51">
        <f>SUM(F27:F34)</f>
        <v>1305.7729257641922</v>
      </c>
      <c r="G25" s="52">
        <f>SUM(G27:G34)</f>
        <v>1305.6</v>
      </c>
      <c r="H25" s="52">
        <f>SUM(H27:H34)</f>
        <v>1305.6</v>
      </c>
      <c r="I25" s="52">
        <f>SUM(I27:I34)</f>
        <v>1268.3000000000002</v>
      </c>
    </row>
    <row r="26" spans="1:9" ht="15">
      <c r="A26" s="1100" t="s">
        <v>69</v>
      </c>
      <c r="B26" s="1302"/>
      <c r="C26" s="59"/>
      <c r="D26" s="1305"/>
      <c r="E26" s="60"/>
      <c r="F26" s="61"/>
      <c r="G26" s="50"/>
      <c r="H26" s="50"/>
      <c r="I26" s="50"/>
    </row>
    <row r="27" spans="1:9" ht="12.75">
      <c r="A27" s="1099" t="s">
        <v>84</v>
      </c>
      <c r="B27" s="1302"/>
      <c r="C27" s="54">
        <v>385</v>
      </c>
      <c r="D27" s="1305"/>
      <c r="E27" s="55">
        <v>0.75</v>
      </c>
      <c r="F27" s="56">
        <f aca="true" t="shared" si="0" ref="F27:F34">$B$6/$D$6*E27</f>
        <v>343.6244541484716</v>
      </c>
      <c r="G27" s="98">
        <v>343.5</v>
      </c>
      <c r="H27" s="98">
        <v>343.5</v>
      </c>
      <c r="I27" s="98">
        <f>329.8+15</f>
        <v>344.8</v>
      </c>
    </row>
    <row r="28" spans="1:9" ht="12.75">
      <c r="A28" s="1099" t="s">
        <v>85</v>
      </c>
      <c r="B28" s="1302"/>
      <c r="C28" s="54">
        <v>83</v>
      </c>
      <c r="D28" s="1305"/>
      <c r="E28" s="55">
        <v>0.25</v>
      </c>
      <c r="F28" s="56">
        <f t="shared" si="0"/>
        <v>114.54148471615721</v>
      </c>
      <c r="G28" s="98">
        <v>114.5</v>
      </c>
      <c r="H28" s="98">
        <v>114.5</v>
      </c>
      <c r="I28" s="98">
        <v>109.9</v>
      </c>
    </row>
    <row r="29" spans="1:9" ht="12.75">
      <c r="A29" s="1099" t="s">
        <v>86</v>
      </c>
      <c r="B29" s="1302"/>
      <c r="C29" s="54">
        <v>113</v>
      </c>
      <c r="D29" s="1305"/>
      <c r="E29" s="55">
        <v>0.25</v>
      </c>
      <c r="F29" s="56">
        <f t="shared" si="0"/>
        <v>114.54148471615721</v>
      </c>
      <c r="G29" s="98">
        <v>114.6</v>
      </c>
      <c r="H29" s="98">
        <v>114.6</v>
      </c>
      <c r="I29" s="98">
        <v>110</v>
      </c>
    </row>
    <row r="30" spans="1:9" ht="12.75">
      <c r="A30" s="1099" t="s">
        <v>87</v>
      </c>
      <c r="B30" s="1302"/>
      <c r="C30" s="54">
        <v>130</v>
      </c>
      <c r="D30" s="1305"/>
      <c r="E30" s="55">
        <v>0.5</v>
      </c>
      <c r="F30" s="56">
        <f t="shared" si="0"/>
        <v>229.08296943231443</v>
      </c>
      <c r="G30" s="98">
        <v>229.1</v>
      </c>
      <c r="H30" s="98">
        <v>229.1</v>
      </c>
      <c r="I30" s="98">
        <v>219.9</v>
      </c>
    </row>
    <row r="31" spans="1:9" ht="12.75">
      <c r="A31" s="1099" t="s">
        <v>88</v>
      </c>
      <c r="B31" s="1302"/>
      <c r="C31" s="54">
        <v>89</v>
      </c>
      <c r="D31" s="1305"/>
      <c r="E31" s="55">
        <v>0.25</v>
      </c>
      <c r="F31" s="56">
        <f t="shared" si="0"/>
        <v>114.54148471615721</v>
      </c>
      <c r="G31" s="98">
        <v>114.5</v>
      </c>
      <c r="H31" s="98">
        <v>114.5</v>
      </c>
      <c r="I31" s="98">
        <v>109.9</v>
      </c>
    </row>
    <row r="32" spans="1:9" ht="12.75">
      <c r="A32" s="1099" t="s">
        <v>89</v>
      </c>
      <c r="B32" s="1302"/>
      <c r="C32" s="54">
        <v>145</v>
      </c>
      <c r="D32" s="1305"/>
      <c r="E32" s="55">
        <v>0.5</v>
      </c>
      <c r="F32" s="56">
        <f t="shared" si="0"/>
        <v>229.08296943231443</v>
      </c>
      <c r="G32" s="98">
        <v>229.1</v>
      </c>
      <c r="H32" s="98">
        <v>229.1</v>
      </c>
      <c r="I32" s="98">
        <v>219.9</v>
      </c>
    </row>
    <row r="33" spans="1:9" ht="12.75">
      <c r="A33" s="1099" t="s">
        <v>90</v>
      </c>
      <c r="B33" s="1302"/>
      <c r="C33" s="54">
        <v>79</v>
      </c>
      <c r="D33" s="1305"/>
      <c r="E33" s="55">
        <v>0.25</v>
      </c>
      <c r="F33" s="56">
        <f t="shared" si="0"/>
        <v>114.54148471615721</v>
      </c>
      <c r="G33" s="98">
        <v>114.5</v>
      </c>
      <c r="H33" s="98">
        <v>114.5</v>
      </c>
      <c r="I33" s="98">
        <v>109.9</v>
      </c>
    </row>
    <row r="34" spans="1:9" ht="12.75">
      <c r="A34" s="1099" t="s">
        <v>91</v>
      </c>
      <c r="B34" s="1302"/>
      <c r="C34" s="54">
        <v>32</v>
      </c>
      <c r="D34" s="1305"/>
      <c r="E34" s="55">
        <v>0.1</v>
      </c>
      <c r="F34" s="56">
        <f t="shared" si="0"/>
        <v>45.81659388646289</v>
      </c>
      <c r="G34" s="98">
        <v>45.8</v>
      </c>
      <c r="H34" s="98">
        <v>45.8</v>
      </c>
      <c r="I34" s="98">
        <v>44</v>
      </c>
    </row>
    <row r="35" spans="1:9" ht="39.75" customHeight="1">
      <c r="A35" s="57" t="s">
        <v>92</v>
      </c>
      <c r="B35" s="1302"/>
      <c r="C35" s="58">
        <f>SUM(C37:C39)</f>
        <v>669</v>
      </c>
      <c r="D35" s="1305"/>
      <c r="E35" s="51">
        <f>SUM(E37:E39)</f>
        <v>1.5</v>
      </c>
      <c r="F35" s="51">
        <f>SUM(F37:F39)</f>
        <v>687.2489082969433</v>
      </c>
      <c r="G35" s="52">
        <f>SUM(G37:G39)</f>
        <v>687</v>
      </c>
      <c r="H35" s="52">
        <f>SUM(H37:H39)</f>
        <v>707</v>
      </c>
      <c r="I35" s="52">
        <f>SUM(I37:I39)</f>
        <v>659.5</v>
      </c>
    </row>
    <row r="36" spans="1:9" ht="22.5" customHeight="1">
      <c r="A36" s="1100" t="s">
        <v>69</v>
      </c>
      <c r="B36" s="1302"/>
      <c r="C36" s="59"/>
      <c r="D36" s="1305"/>
      <c r="E36" s="60"/>
      <c r="F36" s="61"/>
      <c r="G36" s="50"/>
      <c r="H36" s="50"/>
      <c r="I36" s="50"/>
    </row>
    <row r="37" spans="1:9" ht="23.25" customHeight="1">
      <c r="A37" s="1099" t="s">
        <v>93</v>
      </c>
      <c r="B37" s="1302"/>
      <c r="C37" s="54">
        <v>531</v>
      </c>
      <c r="D37" s="1305"/>
      <c r="E37" s="55">
        <v>1</v>
      </c>
      <c r="F37" s="56">
        <f>$B$6/$D$6*E37</f>
        <v>458.16593886462886</v>
      </c>
      <c r="G37" s="98">
        <v>458</v>
      </c>
      <c r="H37" s="98">
        <v>478</v>
      </c>
      <c r="I37" s="98">
        <v>439.7</v>
      </c>
    </row>
    <row r="38" spans="1:9" ht="22.5" customHeight="1">
      <c r="A38" s="1099" t="s">
        <v>94</v>
      </c>
      <c r="B38" s="1302"/>
      <c r="C38" s="54">
        <v>66</v>
      </c>
      <c r="D38" s="1305"/>
      <c r="E38" s="55">
        <v>0.25</v>
      </c>
      <c r="F38" s="56">
        <f>$B$6/$D$6*E38</f>
        <v>114.54148471615721</v>
      </c>
      <c r="G38" s="98">
        <v>114.5</v>
      </c>
      <c r="H38" s="98">
        <v>114.5</v>
      </c>
      <c r="I38" s="98">
        <v>109.9</v>
      </c>
    </row>
    <row r="39" spans="1:9" ht="25.5" customHeight="1">
      <c r="A39" s="1099" t="s">
        <v>95</v>
      </c>
      <c r="B39" s="1302"/>
      <c r="C39" s="54">
        <v>72</v>
      </c>
      <c r="D39" s="1305"/>
      <c r="E39" s="55">
        <v>0.25</v>
      </c>
      <c r="F39" s="56">
        <f>$B$6/$D$6*E39</f>
        <v>114.54148471615721</v>
      </c>
      <c r="G39" s="98">
        <v>114.5</v>
      </c>
      <c r="H39" s="98">
        <v>114.5</v>
      </c>
      <c r="I39" s="98">
        <v>109.9</v>
      </c>
    </row>
    <row r="40" spans="1:9" ht="38.25">
      <c r="A40" s="57" t="s">
        <v>96</v>
      </c>
      <c r="B40" s="1302"/>
      <c r="C40" s="58">
        <f>SUM(C42:C45)</f>
        <v>1186</v>
      </c>
      <c r="D40" s="1305"/>
      <c r="E40" s="51">
        <f>SUM(E42:E45)</f>
        <v>2.5</v>
      </c>
      <c r="F40" s="51">
        <f>SUM(F42:F45)</f>
        <v>1145.4148471615722</v>
      </c>
      <c r="G40" s="52">
        <f>SUM(G42:G45)</f>
        <v>1145.2</v>
      </c>
      <c r="H40" s="52">
        <f>SUM(H42:H45)</f>
        <v>1165.1</v>
      </c>
      <c r="I40" s="52">
        <f>SUM(I42:I45)</f>
        <v>1114.4</v>
      </c>
    </row>
    <row r="41" spans="1:9" ht="15">
      <c r="A41" s="1100" t="s">
        <v>69</v>
      </c>
      <c r="B41" s="1302"/>
      <c r="C41" s="59"/>
      <c r="D41" s="1305"/>
      <c r="E41" s="60"/>
      <c r="F41" s="61"/>
      <c r="G41" s="50"/>
      <c r="H41" s="50"/>
      <c r="I41" s="50"/>
    </row>
    <row r="42" spans="1:9" ht="12.75">
      <c r="A42" s="1099" t="s">
        <v>97</v>
      </c>
      <c r="B42" s="1302"/>
      <c r="C42" s="54">
        <v>624</v>
      </c>
      <c r="D42" s="1305"/>
      <c r="E42" s="55">
        <v>1</v>
      </c>
      <c r="F42" s="56">
        <f>$B$6/$D$6*E42</f>
        <v>458.16593886462886</v>
      </c>
      <c r="G42" s="98">
        <v>458.1</v>
      </c>
      <c r="H42" s="98">
        <v>478</v>
      </c>
      <c r="I42" s="98">
        <f>439.8+15</f>
        <v>454.8</v>
      </c>
    </row>
    <row r="43" spans="1:9" ht="12.75">
      <c r="A43" s="1099" t="s">
        <v>98</v>
      </c>
      <c r="B43" s="1302"/>
      <c r="C43" s="54">
        <v>368</v>
      </c>
      <c r="D43" s="1305"/>
      <c r="E43" s="55">
        <v>0.75</v>
      </c>
      <c r="F43" s="56">
        <f>$B$6/$D$6*E43</f>
        <v>343.6244541484716</v>
      </c>
      <c r="G43" s="98">
        <v>343.5</v>
      </c>
      <c r="H43" s="98">
        <v>343.5</v>
      </c>
      <c r="I43" s="98">
        <v>329.8</v>
      </c>
    </row>
    <row r="44" spans="1:9" ht="12.75">
      <c r="A44" s="1099" t="s">
        <v>99</v>
      </c>
      <c r="B44" s="1302"/>
      <c r="C44" s="54">
        <v>63</v>
      </c>
      <c r="D44" s="1305"/>
      <c r="E44" s="55">
        <v>0.25</v>
      </c>
      <c r="F44" s="56">
        <f>$B$6/$D$6*E44</f>
        <v>114.54148471615721</v>
      </c>
      <c r="G44" s="98">
        <v>114.5</v>
      </c>
      <c r="H44" s="98">
        <v>114.5</v>
      </c>
      <c r="I44" s="98">
        <v>109.9</v>
      </c>
    </row>
    <row r="45" spans="1:9" ht="12.75">
      <c r="A45" s="1099" t="s">
        <v>100</v>
      </c>
      <c r="B45" s="1302"/>
      <c r="C45" s="54">
        <v>131</v>
      </c>
      <c r="D45" s="1305"/>
      <c r="E45" s="55">
        <v>0.5</v>
      </c>
      <c r="F45" s="56">
        <f>$B$6/$D$6*E45</f>
        <v>229.08296943231443</v>
      </c>
      <c r="G45" s="98">
        <v>229.1</v>
      </c>
      <c r="H45" s="98">
        <v>229.1</v>
      </c>
      <c r="I45" s="98">
        <v>219.9</v>
      </c>
    </row>
    <row r="46" spans="1:9" ht="15.75">
      <c r="A46" s="1101" t="s">
        <v>606</v>
      </c>
      <c r="B46" s="1303"/>
      <c r="C46" s="64">
        <f>C6+C9+C16+C20+C25+C35+C40+C7</f>
        <v>4912</v>
      </c>
      <c r="D46" s="1306"/>
      <c r="E46" s="64">
        <f>E6+E9+E16+E20+E25+E35+E40+E7</f>
        <v>11.450000000000001</v>
      </c>
      <c r="F46" s="64" t="e">
        <f>F6+F9+F16+F20+F25+F35+F40+F7</f>
        <v>#REF!</v>
      </c>
      <c r="G46" s="64">
        <f>G6+G9+G16+G20+G25+G35+G40+G7</f>
        <v>5246</v>
      </c>
      <c r="H46" s="1038">
        <f>H6+H9+H16+H20+H25+H35+H40+H7</f>
        <v>5315.6</v>
      </c>
      <c r="I46" s="1038">
        <f>I6+I9+I16+I20+I25+I35+I40+I7</f>
        <v>5069.1</v>
      </c>
    </row>
    <row r="47" ht="12.75">
      <c r="B47" t="s">
        <v>171</v>
      </c>
    </row>
    <row r="50" spans="8:9" ht="12.75">
      <c r="H50" s="142"/>
      <c r="I50" s="142"/>
    </row>
  </sheetData>
  <sheetProtection/>
  <mergeCells count="5">
    <mergeCell ref="A1:I1"/>
    <mergeCell ref="A3:A4"/>
    <mergeCell ref="B3:F3"/>
    <mergeCell ref="B6:B46"/>
    <mergeCell ref="D6:D46"/>
  </mergeCells>
  <printOptions/>
  <pageMargins left="0.17" right="0.15748031496062992" top="0.5118110236220472" bottom="0.17" header="0.31496062992125984" footer="0.17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21.125" style="0" customWidth="1"/>
    <col min="2" max="2" width="12.875" style="0" customWidth="1"/>
    <col min="3" max="3" width="16.25390625" style="0" customWidth="1"/>
    <col min="4" max="4" width="16.125" style="0" customWidth="1"/>
    <col min="5" max="5" width="12.875" style="0" customWidth="1"/>
    <col min="6" max="6" width="12.125" style="0" customWidth="1"/>
    <col min="7" max="7" width="14.875" style="0" customWidth="1"/>
  </cols>
  <sheetData>
    <row r="1" spans="1:7" ht="18" customHeight="1">
      <c r="A1" s="1310" t="s">
        <v>141</v>
      </c>
      <c r="B1" s="1310"/>
      <c r="C1" s="1310"/>
      <c r="D1" s="1310"/>
      <c r="E1" s="1310"/>
      <c r="F1" s="1310"/>
      <c r="G1" s="1310"/>
    </row>
    <row r="2" spans="1:7" ht="53.25" customHeight="1">
      <c r="A2" s="1311" t="s">
        <v>156</v>
      </c>
      <c r="B2" s="1311"/>
      <c r="C2" s="1311"/>
      <c r="D2" s="1311"/>
      <c r="E2" s="1311"/>
      <c r="F2" s="1311"/>
      <c r="G2" s="1311"/>
    </row>
    <row r="3" spans="1:5" ht="15.75">
      <c r="A3" s="137"/>
      <c r="B3" s="137"/>
      <c r="C3" s="137"/>
      <c r="D3" s="137"/>
      <c r="E3" s="138"/>
    </row>
    <row r="4" ht="12.75">
      <c r="G4" s="133" t="s">
        <v>140</v>
      </c>
    </row>
    <row r="5" spans="1:7" ht="43.5" customHeight="1">
      <c r="A5" s="1307" t="s">
        <v>29</v>
      </c>
      <c r="B5" s="1309" t="s">
        <v>142</v>
      </c>
      <c r="C5" s="1309"/>
      <c r="D5" s="1309"/>
      <c r="E5" s="1309"/>
      <c r="F5" s="1309"/>
      <c r="G5" s="1309"/>
    </row>
    <row r="6" spans="1:7" ht="180">
      <c r="A6" s="1308"/>
      <c r="B6" s="132" t="s">
        <v>143</v>
      </c>
      <c r="C6" s="132" t="s">
        <v>144</v>
      </c>
      <c r="D6" s="132" t="s">
        <v>145</v>
      </c>
      <c r="E6" s="132" t="s">
        <v>146</v>
      </c>
      <c r="F6" s="132" t="s">
        <v>147</v>
      </c>
      <c r="G6" s="132" t="s">
        <v>157</v>
      </c>
    </row>
    <row r="7" spans="1:7" ht="21" customHeight="1">
      <c r="A7" s="139" t="s">
        <v>39</v>
      </c>
      <c r="B7" s="140">
        <v>9263</v>
      </c>
      <c r="C7" s="140">
        <v>24476</v>
      </c>
      <c r="D7" s="140">
        <v>15213</v>
      </c>
      <c r="E7" s="141">
        <v>9263</v>
      </c>
      <c r="F7" s="141">
        <v>9263</v>
      </c>
      <c r="G7" s="141">
        <v>9263</v>
      </c>
    </row>
    <row r="8" spans="1:7" ht="24.75" customHeight="1">
      <c r="A8" s="131" t="s">
        <v>37</v>
      </c>
      <c r="B8" s="140">
        <v>9263</v>
      </c>
      <c r="C8" s="140">
        <v>24476</v>
      </c>
      <c r="D8" s="140">
        <v>15213</v>
      </c>
      <c r="E8" s="130">
        <f>SUM(E7:E7)</f>
        <v>9263</v>
      </c>
      <c r="F8" s="130">
        <f>SUM(F7:F7)</f>
        <v>9263</v>
      </c>
      <c r="G8" s="130">
        <f>SUM(G7:G7)</f>
        <v>9263</v>
      </c>
    </row>
  </sheetData>
  <sheetProtection/>
  <mergeCells count="4">
    <mergeCell ref="A5:A6"/>
    <mergeCell ref="B5:G5"/>
    <mergeCell ref="A1:G1"/>
    <mergeCell ref="A2:G2"/>
  </mergeCells>
  <printOptions/>
  <pageMargins left="0.7" right="0.7" top="0.75" bottom="0.75" header="0.3" footer="0.3"/>
  <pageSetup fitToHeight="1" fitToWidth="1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44.00390625" style="0" customWidth="1"/>
    <col min="2" max="5" width="0" style="0" hidden="1" customWidth="1"/>
    <col min="6" max="6" width="10.375" style="0" customWidth="1"/>
    <col min="7" max="7" width="13.00390625" style="0" customWidth="1"/>
    <col min="8" max="8" width="10.375" style="0" customWidth="1"/>
    <col min="9" max="9" width="13.00390625" style="0" customWidth="1"/>
    <col min="10" max="10" width="11.625" style="0" customWidth="1"/>
    <col min="11" max="11" width="12.375" style="0" customWidth="1"/>
  </cols>
  <sheetData>
    <row r="2" spans="1:11" ht="104.25" customHeight="1">
      <c r="A2" s="1314" t="s">
        <v>526</v>
      </c>
      <c r="B2" s="1314"/>
      <c r="C2" s="1314"/>
      <c r="D2" s="1314"/>
      <c r="E2" s="1314"/>
      <c r="F2" s="1314"/>
      <c r="G2" s="1314"/>
      <c r="H2" s="1314"/>
      <c r="I2" s="1314"/>
      <c r="J2" s="1314"/>
      <c r="K2" s="1314"/>
    </row>
    <row r="3" spans="1:5" ht="15.75" thickBot="1">
      <c r="A3" s="144"/>
      <c r="B3" s="144"/>
      <c r="D3" s="163"/>
      <c r="E3" s="164"/>
    </row>
    <row r="4" spans="1:11" ht="15" customHeight="1">
      <c r="A4" s="1316" t="s">
        <v>158</v>
      </c>
      <c r="B4" s="1312" t="s">
        <v>130</v>
      </c>
      <c r="C4" s="1313"/>
      <c r="D4" s="136"/>
      <c r="E4" s="143"/>
      <c r="F4" s="1312" t="s">
        <v>131</v>
      </c>
      <c r="G4" s="1313"/>
      <c r="H4" s="1312" t="s">
        <v>132</v>
      </c>
      <c r="I4" s="1313"/>
      <c r="J4" s="1312" t="s">
        <v>159</v>
      </c>
      <c r="K4" s="1313"/>
    </row>
    <row r="5" spans="1:11" ht="45">
      <c r="A5" s="1317"/>
      <c r="B5" s="174" t="s">
        <v>160</v>
      </c>
      <c r="C5" s="175" t="s">
        <v>161</v>
      </c>
      <c r="D5" s="173"/>
      <c r="E5" s="164"/>
      <c r="F5" s="174" t="s">
        <v>160</v>
      </c>
      <c r="G5" s="175" t="s">
        <v>161</v>
      </c>
      <c r="H5" s="174" t="s">
        <v>160</v>
      </c>
      <c r="I5" s="175" t="s">
        <v>161</v>
      </c>
      <c r="J5" s="174" t="s">
        <v>160</v>
      </c>
      <c r="K5" s="175" t="s">
        <v>161</v>
      </c>
    </row>
    <row r="6" spans="1:11" ht="15">
      <c r="A6" s="1318"/>
      <c r="B6" s="135" t="s">
        <v>139</v>
      </c>
      <c r="C6" s="134"/>
      <c r="D6" s="136"/>
      <c r="E6" s="143"/>
      <c r="F6" s="135" t="s">
        <v>139</v>
      </c>
      <c r="G6" s="134" t="s">
        <v>162</v>
      </c>
      <c r="H6" s="135" t="s">
        <v>139</v>
      </c>
      <c r="I6" s="134" t="s">
        <v>162</v>
      </c>
      <c r="J6" s="135" t="s">
        <v>139</v>
      </c>
      <c r="K6" s="134" t="s">
        <v>162</v>
      </c>
    </row>
    <row r="7" spans="1:11" s="1098" customFormat="1" ht="15">
      <c r="A7" s="1103" t="s">
        <v>41</v>
      </c>
      <c r="B7" s="1104" t="e">
        <f>B8+B12+B13+#REF!+B14+#REF!+B15+B16+B17</f>
        <v>#REF!</v>
      </c>
      <c r="C7" s="1105" t="e">
        <f>C8+C12+C13+#REF!+C14+#REF!+C15+C16+C17</f>
        <v>#REF!</v>
      </c>
      <c r="D7" s="1106" t="e">
        <f>D8+D12+D13+#REF!+D14+#REF!+D15+D16+D17</f>
        <v>#VALUE!</v>
      </c>
      <c r="E7" s="1107"/>
      <c r="F7" s="1104">
        <v>2887</v>
      </c>
      <c r="G7" s="1105">
        <v>44473</v>
      </c>
      <c r="H7" s="1104">
        <v>2764</v>
      </c>
      <c r="I7" s="1105">
        <v>44473</v>
      </c>
      <c r="J7" s="1104">
        <v>2764</v>
      </c>
      <c r="K7" s="1105">
        <v>44473</v>
      </c>
    </row>
    <row r="8" spans="1:11" ht="15">
      <c r="A8" s="177" t="s">
        <v>163</v>
      </c>
      <c r="B8" s="178">
        <v>212.1</v>
      </c>
      <c r="C8" s="165">
        <v>7330</v>
      </c>
      <c r="D8" s="173" t="e">
        <f>$B$6/$C$6*C8</f>
        <v>#VALUE!</v>
      </c>
      <c r="E8" s="166" t="e">
        <f>B8-D8</f>
        <v>#VALUE!</v>
      </c>
      <c r="F8" s="178">
        <v>1246.5</v>
      </c>
      <c r="G8" s="165">
        <v>19203</v>
      </c>
      <c r="H8" s="178">
        <v>1193.4</v>
      </c>
      <c r="I8" s="165">
        <v>19203</v>
      </c>
      <c r="J8" s="178">
        <v>1193.4</v>
      </c>
      <c r="K8" s="165">
        <v>19203</v>
      </c>
    </row>
    <row r="9" spans="1:11" ht="15">
      <c r="A9" s="167" t="s">
        <v>483</v>
      </c>
      <c r="B9" s="168" t="e">
        <f>SUM(#REF!)</f>
        <v>#REF!</v>
      </c>
      <c r="C9" s="165" t="e">
        <f>SUM(#REF!)</f>
        <v>#REF!</v>
      </c>
      <c r="D9" s="176" t="e">
        <f>SUM(#REF!)</f>
        <v>#REF!</v>
      </c>
      <c r="E9" s="166" t="e">
        <f>B9-D9</f>
        <v>#REF!</v>
      </c>
      <c r="F9" s="178">
        <v>292.4456411755447</v>
      </c>
      <c r="G9" s="165">
        <v>4505</v>
      </c>
      <c r="H9" s="178">
        <v>279.98605895712006</v>
      </c>
      <c r="I9" s="165">
        <v>4505</v>
      </c>
      <c r="J9" s="178">
        <v>279.98605895712006</v>
      </c>
      <c r="K9" s="165">
        <v>4505</v>
      </c>
    </row>
    <row r="10" spans="1:11" ht="15">
      <c r="A10" s="177" t="s">
        <v>478</v>
      </c>
      <c r="B10" s="178">
        <v>86</v>
      </c>
      <c r="C10" s="165" t="e">
        <f>C9</f>
        <v>#REF!</v>
      </c>
      <c r="D10" s="173" t="e">
        <f>$B$6/$C$6*C10</f>
        <v>#VALUE!</v>
      </c>
      <c r="E10" s="166" t="e">
        <f>B10-D10</f>
        <v>#VALUE!</v>
      </c>
      <c r="F10" s="178">
        <v>129.37717266656173</v>
      </c>
      <c r="G10" s="165">
        <v>1993</v>
      </c>
      <c r="H10" s="178">
        <v>123.86508668180693</v>
      </c>
      <c r="I10" s="165">
        <v>1993</v>
      </c>
      <c r="J10" s="178">
        <v>123.86508668180693</v>
      </c>
      <c r="K10" s="165">
        <v>1993</v>
      </c>
    </row>
    <row r="11" spans="1:11" ht="15" hidden="1">
      <c r="A11" s="177"/>
      <c r="B11" s="178"/>
      <c r="C11" s="165"/>
      <c r="D11" s="173"/>
      <c r="E11" s="166"/>
      <c r="F11" s="178"/>
      <c r="G11" s="165"/>
      <c r="H11" s="178"/>
      <c r="I11" s="165"/>
      <c r="J11" s="178"/>
      <c r="K11" s="165"/>
    </row>
    <row r="12" spans="1:11" ht="15">
      <c r="A12" s="177" t="s">
        <v>32</v>
      </c>
      <c r="B12" s="178">
        <v>132</v>
      </c>
      <c r="C12" s="165">
        <v>4562</v>
      </c>
      <c r="D12" s="173" t="e">
        <f>$B$6/$C$6*C12</f>
        <v>#VALUE!</v>
      </c>
      <c r="E12" s="166" t="e">
        <f aca="true" t="shared" si="0" ref="E12:E17">B12-D12</f>
        <v>#VALUE!</v>
      </c>
      <c r="F12" s="178">
        <v>202.0828592629236</v>
      </c>
      <c r="G12" s="165">
        <v>3113</v>
      </c>
      <c r="H12" s="178">
        <v>193.47316349245608</v>
      </c>
      <c r="I12" s="165">
        <v>3113</v>
      </c>
      <c r="J12" s="178">
        <v>193.47316349245608</v>
      </c>
      <c r="K12" s="165">
        <v>3113</v>
      </c>
    </row>
    <row r="13" spans="1:11" ht="15">
      <c r="A13" s="177" t="s">
        <v>1</v>
      </c>
      <c r="B13" s="178">
        <v>86</v>
      </c>
      <c r="C13" s="165">
        <v>2972</v>
      </c>
      <c r="D13" s="173" t="e">
        <f>$B$6/$C$6*C13</f>
        <v>#VALUE!</v>
      </c>
      <c r="E13" s="166" t="e">
        <f t="shared" si="0"/>
        <v>#VALUE!</v>
      </c>
      <c r="F13" s="178">
        <v>188.25579565129405</v>
      </c>
      <c r="G13" s="165">
        <v>2900</v>
      </c>
      <c r="H13" s="178">
        <v>180.23519888471657</v>
      </c>
      <c r="I13" s="165">
        <v>2900</v>
      </c>
      <c r="J13" s="178">
        <v>180.23519888471657</v>
      </c>
      <c r="K13" s="165">
        <v>2900</v>
      </c>
    </row>
    <row r="14" spans="1:11" ht="15">
      <c r="A14" s="167" t="s">
        <v>138</v>
      </c>
      <c r="B14" s="168" t="e">
        <f>SUM(#REF!)</f>
        <v>#REF!</v>
      </c>
      <c r="C14" s="165" t="e">
        <f>SUM(#REF!)</f>
        <v>#REF!</v>
      </c>
      <c r="D14" s="176" t="e">
        <f>SUM(#REF!)</f>
        <v>#REF!</v>
      </c>
      <c r="E14" s="166" t="e">
        <f t="shared" si="0"/>
        <v>#REF!</v>
      </c>
      <c r="F14" s="178">
        <v>370.40950689182205</v>
      </c>
      <c r="G14" s="165">
        <v>5706</v>
      </c>
      <c r="H14" s="178">
        <v>354.6282913228251</v>
      </c>
      <c r="I14" s="165">
        <v>5706</v>
      </c>
      <c r="J14" s="178">
        <v>354.6282913228251</v>
      </c>
      <c r="K14" s="165">
        <v>5706</v>
      </c>
    </row>
    <row r="15" spans="1:11" ht="15">
      <c r="A15" s="167" t="s">
        <v>31</v>
      </c>
      <c r="B15" s="168" t="e">
        <f>SUM(#REF!)</f>
        <v>#REF!</v>
      </c>
      <c r="C15" s="165" t="e">
        <f>SUM(#REF!)</f>
        <v>#REF!</v>
      </c>
      <c r="D15" s="176" t="e">
        <f>SUM(#REF!)</f>
        <v>#REF!</v>
      </c>
      <c r="E15" s="166" t="e">
        <f t="shared" si="0"/>
        <v>#REF!</v>
      </c>
      <c r="F15" s="178">
        <v>173.26024779079444</v>
      </c>
      <c r="G15" s="165">
        <v>2669</v>
      </c>
      <c r="H15" s="178">
        <v>165.87853304252016</v>
      </c>
      <c r="I15" s="165">
        <v>2669</v>
      </c>
      <c r="J15" s="178">
        <v>165.87853304252016</v>
      </c>
      <c r="K15" s="165">
        <v>2669</v>
      </c>
    </row>
    <row r="16" spans="1:11" ht="15">
      <c r="A16" s="167" t="s">
        <v>33</v>
      </c>
      <c r="B16" s="168" t="e">
        <f>SUM(#REF!)</f>
        <v>#REF!</v>
      </c>
      <c r="C16" s="165" t="e">
        <f>SUM(#REF!)</f>
        <v>#REF!</v>
      </c>
      <c r="D16" s="176" t="e">
        <f>SUM(#REF!)</f>
        <v>#REF!</v>
      </c>
      <c r="E16" s="166" t="e">
        <f t="shared" si="0"/>
        <v>#REF!</v>
      </c>
      <c r="F16" s="178">
        <v>116.52384592899064</v>
      </c>
      <c r="G16" s="165">
        <v>1795</v>
      </c>
      <c r="H16" s="178">
        <v>111.55937310278146</v>
      </c>
      <c r="I16" s="165">
        <v>1795</v>
      </c>
      <c r="J16" s="178">
        <v>111.55937310278146</v>
      </c>
      <c r="K16" s="165">
        <v>1795</v>
      </c>
    </row>
    <row r="17" spans="1:11" ht="15">
      <c r="A17" s="167" t="s">
        <v>36</v>
      </c>
      <c r="B17" s="168" t="e">
        <f>SUM(#REF!)</f>
        <v>#REF!</v>
      </c>
      <c r="C17" s="165" t="e">
        <f>SUM(#REF!)</f>
        <v>#REF!</v>
      </c>
      <c r="D17" s="176" t="e">
        <f>SUM(#REF!)</f>
        <v>#REF!</v>
      </c>
      <c r="E17" s="166" t="e">
        <f t="shared" si="0"/>
        <v>#REF!</v>
      </c>
      <c r="F17" s="178">
        <v>168.06698446248288</v>
      </c>
      <c r="G17" s="165">
        <v>2589</v>
      </c>
      <c r="H17" s="178">
        <v>160.90652755604523</v>
      </c>
      <c r="I17" s="165">
        <v>2589</v>
      </c>
      <c r="J17" s="178">
        <v>160.90652755604523</v>
      </c>
      <c r="K17" s="165">
        <v>2589</v>
      </c>
    </row>
    <row r="18" spans="1:5" ht="15">
      <c r="A18" s="144"/>
      <c r="B18" s="144"/>
      <c r="C18" s="142"/>
      <c r="D18" s="163"/>
      <c r="E18" s="164"/>
    </row>
    <row r="19" spans="1:9" ht="15">
      <c r="A19" s="1315"/>
      <c r="B19" s="1315"/>
      <c r="C19" s="1315"/>
      <c r="D19" s="1315"/>
      <c r="E19" s="1315"/>
      <c r="F19" s="1315"/>
      <c r="G19" s="1315"/>
      <c r="H19" s="1315"/>
      <c r="I19" s="1315"/>
    </row>
    <row r="20" spans="1:9" ht="23.25">
      <c r="A20" s="169"/>
      <c r="D20" s="163"/>
      <c r="E20" s="164"/>
      <c r="F20" s="170"/>
      <c r="I20" s="170"/>
    </row>
    <row r="21" spans="1:9" ht="15">
      <c r="A21" s="171"/>
      <c r="B21" s="172"/>
      <c r="C21" s="172"/>
      <c r="D21" s="173"/>
      <c r="E21" s="164"/>
      <c r="F21" s="172"/>
      <c r="G21" s="172"/>
      <c r="H21" s="172"/>
      <c r="I21" s="172"/>
    </row>
    <row r="22" spans="1:9" ht="15">
      <c r="A22" s="1315"/>
      <c r="B22" s="1315"/>
      <c r="C22" s="1315"/>
      <c r="D22" s="1315"/>
      <c r="E22" s="1315"/>
      <c r="F22" s="1315"/>
      <c r="G22" s="1315"/>
      <c r="H22" s="1315"/>
      <c r="I22" s="1315"/>
    </row>
    <row r="23" spans="1:9" ht="15">
      <c r="A23" s="1315"/>
      <c r="B23" s="1315"/>
      <c r="C23" s="1315"/>
      <c r="D23" s="1315"/>
      <c r="E23" s="1315"/>
      <c r="F23" s="1315"/>
      <c r="G23" s="1315"/>
      <c r="H23" s="1315"/>
      <c r="I23" s="1315"/>
    </row>
    <row r="24" spans="1:9" ht="15">
      <c r="A24" s="1315"/>
      <c r="B24" s="1315"/>
      <c r="C24" s="1315"/>
      <c r="D24" s="1315"/>
      <c r="E24" s="1315"/>
      <c r="F24" s="1315"/>
      <c r="G24" s="1315"/>
      <c r="H24" s="1315"/>
      <c r="I24" s="1315"/>
    </row>
    <row r="25" spans="1:9" ht="15">
      <c r="A25" s="1315"/>
      <c r="B25" s="1315"/>
      <c r="C25" s="1315"/>
      <c r="D25" s="1315"/>
      <c r="E25" s="1315"/>
      <c r="F25" s="1315"/>
      <c r="G25" s="1315"/>
      <c r="H25" s="1315"/>
      <c r="I25" s="1315"/>
    </row>
    <row r="26" spans="4:5" ht="15">
      <c r="D26" s="163"/>
      <c r="E26" s="164"/>
    </row>
    <row r="27" spans="4:5" ht="15">
      <c r="D27" s="163"/>
      <c r="E27" s="164"/>
    </row>
  </sheetData>
  <sheetProtection/>
  <mergeCells count="11">
    <mergeCell ref="A25:I25"/>
    <mergeCell ref="A4:A6"/>
    <mergeCell ref="B4:C4"/>
    <mergeCell ref="F4:G4"/>
    <mergeCell ref="H4:I4"/>
    <mergeCell ref="J4:K4"/>
    <mergeCell ref="A2:K2"/>
    <mergeCell ref="A19:I19"/>
    <mergeCell ref="A22:I22"/>
    <mergeCell ref="A23:I23"/>
    <mergeCell ref="A24:I24"/>
  </mergeCells>
  <printOptions/>
  <pageMargins left="0.7" right="0.7" top="0.75" bottom="0.75" header="0.3" footer="0.3"/>
  <pageSetup fitToHeight="1" fitToWidth="1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59" zoomScaleNormal="59" zoomScalePageLayoutView="0" workbookViewId="0" topLeftCell="A1">
      <selection activeCell="G18" sqref="G18:H18"/>
    </sheetView>
  </sheetViews>
  <sheetFormatPr defaultColWidth="18.25390625" defaultRowHeight="12.75"/>
  <cols>
    <col min="1" max="1" width="34.00390625" style="94" customWidth="1"/>
    <col min="2" max="2" width="13.00390625" style="94" customWidth="1"/>
    <col min="3" max="3" width="15.25390625" style="94" customWidth="1"/>
    <col min="4" max="4" width="17.875" style="94" customWidth="1"/>
    <col min="5" max="5" width="20.00390625" style="94" customWidth="1"/>
    <col min="6" max="6" width="5.875" style="94" customWidth="1"/>
    <col min="7" max="7" width="15.625" style="94" customWidth="1"/>
    <col min="8" max="8" width="16.375" style="94" customWidth="1"/>
    <col min="9" max="9" width="16.75390625" style="94" customWidth="1"/>
    <col min="10" max="11" width="18.25390625" style="94" customWidth="1"/>
    <col min="12" max="12" width="12.875" style="94" customWidth="1"/>
    <col min="13" max="13" width="18.25390625" style="94" customWidth="1"/>
    <col min="14" max="14" width="8.25390625" style="94" customWidth="1"/>
    <col min="15" max="16" width="18.25390625" style="94" customWidth="1"/>
    <col min="17" max="17" width="19.375" style="94" customWidth="1"/>
    <col min="18" max="18" width="2.00390625" style="94" customWidth="1"/>
    <col min="19" max="19" width="14.625" style="94" customWidth="1"/>
    <col min="20" max="20" width="12.00390625" style="94" hidden="1" customWidth="1"/>
    <col min="21" max="21" width="17.875" style="94" customWidth="1"/>
    <col min="22" max="22" width="11.00390625" style="94" customWidth="1"/>
    <col min="23" max="24" width="10.875" style="94" customWidth="1"/>
    <col min="25" max="25" width="12.25390625" style="94" customWidth="1"/>
    <col min="26" max="16384" width="18.25390625" style="94" customWidth="1"/>
  </cols>
  <sheetData>
    <row r="1" spans="1:21" ht="41.25" customHeight="1">
      <c r="A1" s="1330" t="s">
        <v>172</v>
      </c>
      <c r="B1" s="1330"/>
      <c r="C1" s="1330"/>
      <c r="D1" s="1330"/>
      <c r="E1" s="1330"/>
      <c r="F1" s="1330"/>
      <c r="G1" s="1330"/>
      <c r="H1" s="1330"/>
      <c r="I1" s="1330"/>
      <c r="J1" s="1330"/>
      <c r="K1" s="1330"/>
      <c r="L1" s="1330"/>
      <c r="M1" s="1330"/>
      <c r="N1" s="1330"/>
      <c r="O1" s="1330"/>
      <c r="P1" s="1330"/>
      <c r="Q1" s="1330"/>
      <c r="R1" s="1330"/>
      <c r="S1" s="1330"/>
      <c r="T1" s="1330"/>
      <c r="U1" s="1330"/>
    </row>
    <row r="2" spans="1:21" ht="24.75" customHeight="1">
      <c r="A2" s="1331" t="s">
        <v>173</v>
      </c>
      <c r="B2" s="1331"/>
      <c r="C2" s="1331"/>
      <c r="D2" s="1331"/>
      <c r="E2" s="1331"/>
      <c r="F2" s="1331"/>
      <c r="G2" s="1331"/>
      <c r="H2" s="1331"/>
      <c r="I2" s="1331"/>
      <c r="J2" s="1331"/>
      <c r="K2" s="1331"/>
      <c r="L2" s="1331"/>
      <c r="M2" s="1331"/>
      <c r="N2" s="1331"/>
      <c r="O2" s="1331"/>
      <c r="P2" s="1331"/>
      <c r="Q2" s="1331"/>
      <c r="R2" s="1331"/>
      <c r="S2" s="1331"/>
      <c r="T2" s="1331"/>
      <c r="U2" s="1331"/>
    </row>
    <row r="3" spans="1:21" ht="21.75" customHeight="1">
      <c r="A3" s="1331" t="s">
        <v>174</v>
      </c>
      <c r="B3" s="1331"/>
      <c r="C3" s="1331"/>
      <c r="D3" s="1331"/>
      <c r="E3" s="1331"/>
      <c r="F3" s="1331"/>
      <c r="G3" s="1331"/>
      <c r="H3" s="1331"/>
      <c r="I3" s="1331"/>
      <c r="J3" s="1331"/>
      <c r="K3" s="1331"/>
      <c r="L3" s="1331"/>
      <c r="M3" s="1331"/>
      <c r="N3" s="1331"/>
      <c r="O3" s="1331"/>
      <c r="P3" s="1331"/>
      <c r="Q3" s="1331"/>
      <c r="R3" s="1331"/>
      <c r="S3" s="1331"/>
      <c r="T3" s="1331"/>
      <c r="U3" s="1331"/>
    </row>
    <row r="4" spans="7:21" ht="46.5" customHeight="1" thickBot="1">
      <c r="G4" s="183"/>
      <c r="S4" s="1332" t="s">
        <v>175</v>
      </c>
      <c r="T4" s="1332"/>
      <c r="U4" s="1332"/>
    </row>
    <row r="5" spans="1:21" ht="36" customHeight="1" thickBot="1">
      <c r="A5" s="1333" t="s">
        <v>176</v>
      </c>
      <c r="B5" s="1336" t="s">
        <v>131</v>
      </c>
      <c r="C5" s="1337"/>
      <c r="D5" s="1337"/>
      <c r="E5" s="1337"/>
      <c r="F5" s="1337"/>
      <c r="G5" s="1337"/>
      <c r="H5" s="1338"/>
      <c r="I5" s="1336" t="s">
        <v>132</v>
      </c>
      <c r="J5" s="1337"/>
      <c r="K5" s="1337"/>
      <c r="L5" s="1337"/>
      <c r="M5" s="1337"/>
      <c r="N5" s="1337"/>
      <c r="O5" s="1336" t="s">
        <v>159</v>
      </c>
      <c r="P5" s="1337"/>
      <c r="Q5" s="1337"/>
      <c r="R5" s="1337"/>
      <c r="S5" s="1337"/>
      <c r="T5" s="1337"/>
      <c r="U5" s="1338"/>
    </row>
    <row r="6" spans="1:21" ht="15.75" customHeight="1">
      <c r="A6" s="1334"/>
      <c r="B6" s="1339" t="s">
        <v>177</v>
      </c>
      <c r="C6" s="1340"/>
      <c r="D6" s="1340"/>
      <c r="E6" s="1343" t="s">
        <v>178</v>
      </c>
      <c r="F6" s="1344"/>
      <c r="G6" s="1347" t="s">
        <v>179</v>
      </c>
      <c r="H6" s="1348"/>
      <c r="I6" s="1351" t="s">
        <v>177</v>
      </c>
      <c r="J6" s="1352"/>
      <c r="K6" s="1355" t="s">
        <v>178</v>
      </c>
      <c r="L6" s="1356"/>
      <c r="M6" s="1359" t="s">
        <v>179</v>
      </c>
      <c r="N6" s="1360"/>
      <c r="O6" s="1363" t="s">
        <v>177</v>
      </c>
      <c r="P6" s="1364"/>
      <c r="Q6" s="1365" t="s">
        <v>178</v>
      </c>
      <c r="R6" s="1366"/>
      <c r="S6" s="1359" t="s">
        <v>179</v>
      </c>
      <c r="T6" s="1367"/>
      <c r="U6" s="1360"/>
    </row>
    <row r="7" spans="1:21" ht="352.5" customHeight="1" thickBot="1">
      <c r="A7" s="1335"/>
      <c r="B7" s="1341"/>
      <c r="C7" s="1342"/>
      <c r="D7" s="1342"/>
      <c r="E7" s="1345"/>
      <c r="F7" s="1346"/>
      <c r="G7" s="1349"/>
      <c r="H7" s="1350"/>
      <c r="I7" s="1353"/>
      <c r="J7" s="1354"/>
      <c r="K7" s="1357"/>
      <c r="L7" s="1358"/>
      <c r="M7" s="1361"/>
      <c r="N7" s="1362"/>
      <c r="O7" s="1353"/>
      <c r="P7" s="1354"/>
      <c r="Q7" s="1357"/>
      <c r="R7" s="1358"/>
      <c r="S7" s="1361"/>
      <c r="T7" s="1368"/>
      <c r="U7" s="1362"/>
    </row>
    <row r="8" spans="1:21" ht="30" customHeight="1">
      <c r="A8" s="184" t="s">
        <v>180</v>
      </c>
      <c r="B8" s="1369">
        <v>3806.8</v>
      </c>
      <c r="C8" s="1370"/>
      <c r="D8" s="1370"/>
      <c r="E8" s="1370">
        <v>14943.6</v>
      </c>
      <c r="F8" s="1371"/>
      <c r="G8" s="1372">
        <f aca="true" t="shared" si="0" ref="G8:G17">B8+E8</f>
        <v>18750.4</v>
      </c>
      <c r="H8" s="1373"/>
      <c r="I8" s="1374">
        <f>B8</f>
        <v>3806.8</v>
      </c>
      <c r="J8" s="1375"/>
      <c r="K8" s="1370">
        <v>15002.5</v>
      </c>
      <c r="L8" s="1371"/>
      <c r="M8" s="1376">
        <f>I8+L8+K8</f>
        <v>18809.3</v>
      </c>
      <c r="N8" s="1377"/>
      <c r="O8" s="1374">
        <f>I8</f>
        <v>3806.8</v>
      </c>
      <c r="P8" s="1375"/>
      <c r="Q8" s="1370">
        <v>15025.6</v>
      </c>
      <c r="R8" s="1371"/>
      <c r="S8" s="1372">
        <f aca="true" t="shared" si="1" ref="S8:S18">O8+Q8</f>
        <v>18832.4</v>
      </c>
      <c r="T8" s="1378"/>
      <c r="U8" s="1379"/>
    </row>
    <row r="9" spans="1:21" ht="49.5" customHeight="1">
      <c r="A9" s="185" t="s">
        <v>483</v>
      </c>
      <c r="B9" s="1324">
        <v>750.7</v>
      </c>
      <c r="C9" s="1322"/>
      <c r="D9" s="1322"/>
      <c r="E9" s="1322">
        <v>2498.1</v>
      </c>
      <c r="F9" s="1323"/>
      <c r="G9" s="1319">
        <f>B9+E9</f>
        <v>3248.8</v>
      </c>
      <c r="H9" s="1325"/>
      <c r="I9" s="1326">
        <f>B9</f>
        <v>750.7</v>
      </c>
      <c r="J9" s="1327"/>
      <c r="K9" s="1322">
        <v>2510</v>
      </c>
      <c r="L9" s="1323"/>
      <c r="M9" s="1328">
        <f>I9+L9+K9</f>
        <v>3260.7</v>
      </c>
      <c r="N9" s="1329"/>
      <c r="O9" s="1326">
        <f>I9</f>
        <v>750.7</v>
      </c>
      <c r="P9" s="1327"/>
      <c r="Q9" s="1322">
        <v>2520</v>
      </c>
      <c r="R9" s="1323"/>
      <c r="S9" s="1319">
        <f>O9+Q9</f>
        <v>3270.7</v>
      </c>
      <c r="T9" s="1320"/>
      <c r="U9" s="1321"/>
    </row>
    <row r="10" spans="1:21" ht="53.25" customHeight="1">
      <c r="A10" s="185" t="s">
        <v>478</v>
      </c>
      <c r="B10" s="1324">
        <v>576.8</v>
      </c>
      <c r="C10" s="1322"/>
      <c r="D10" s="1322"/>
      <c r="E10" s="1322">
        <v>2454.3</v>
      </c>
      <c r="F10" s="1323"/>
      <c r="G10" s="1319">
        <f>B10+E10</f>
        <v>3031.1000000000004</v>
      </c>
      <c r="H10" s="1325"/>
      <c r="I10" s="1326">
        <f>B10</f>
        <v>576.8</v>
      </c>
      <c r="J10" s="1327"/>
      <c r="K10" s="1322">
        <v>2463</v>
      </c>
      <c r="L10" s="1323"/>
      <c r="M10" s="1328">
        <f>I10+L10+K10</f>
        <v>3039.8</v>
      </c>
      <c r="N10" s="1329"/>
      <c r="O10" s="1326">
        <f>I10</f>
        <v>576.8</v>
      </c>
      <c r="P10" s="1327"/>
      <c r="Q10" s="1322">
        <v>2470</v>
      </c>
      <c r="R10" s="1323"/>
      <c r="S10" s="1319">
        <f>O10+Q10</f>
        <v>3046.8</v>
      </c>
      <c r="T10" s="1320"/>
      <c r="U10" s="1321"/>
    </row>
    <row r="11" spans="1:21" ht="29.25" customHeight="1">
      <c r="A11" s="185"/>
      <c r="B11" s="1324"/>
      <c r="C11" s="1322"/>
      <c r="D11" s="1322"/>
      <c r="E11" s="1322"/>
      <c r="F11" s="1323"/>
      <c r="G11" s="1319"/>
      <c r="H11" s="1325"/>
      <c r="I11" s="1326"/>
      <c r="J11" s="1327"/>
      <c r="K11" s="1322"/>
      <c r="L11" s="1323"/>
      <c r="M11" s="1328"/>
      <c r="N11" s="1329"/>
      <c r="O11" s="1326"/>
      <c r="P11" s="1327"/>
      <c r="Q11" s="1322"/>
      <c r="R11" s="1323"/>
      <c r="S11" s="1319"/>
      <c r="T11" s="1320"/>
      <c r="U11" s="1321"/>
    </row>
    <row r="12" spans="1:21" ht="30" customHeight="1">
      <c r="A12" s="185" t="s">
        <v>0</v>
      </c>
      <c r="B12" s="1324">
        <v>1185.6</v>
      </c>
      <c r="C12" s="1322"/>
      <c r="D12" s="1322"/>
      <c r="E12" s="1322">
        <v>3355.5</v>
      </c>
      <c r="F12" s="1323"/>
      <c r="G12" s="1319">
        <f t="shared" si="0"/>
        <v>4541.1</v>
      </c>
      <c r="H12" s="1325"/>
      <c r="I12" s="1326">
        <f aca="true" t="shared" si="2" ref="I12:I17">B12</f>
        <v>1185.6</v>
      </c>
      <c r="J12" s="1327"/>
      <c r="K12" s="1322">
        <v>3370</v>
      </c>
      <c r="L12" s="1323"/>
      <c r="M12" s="1328">
        <f aca="true" t="shared" si="3" ref="M12:M18">I12+L12+K12</f>
        <v>4555.6</v>
      </c>
      <c r="N12" s="1329"/>
      <c r="O12" s="1326">
        <f aca="true" t="shared" si="4" ref="O12:O17">I12</f>
        <v>1185.6</v>
      </c>
      <c r="P12" s="1327"/>
      <c r="Q12" s="1322">
        <v>3378</v>
      </c>
      <c r="R12" s="1323"/>
      <c r="S12" s="1319">
        <f t="shared" si="1"/>
        <v>4563.6</v>
      </c>
      <c r="T12" s="1320"/>
      <c r="U12" s="1321"/>
    </row>
    <row r="13" spans="1:21" ht="30.75" customHeight="1">
      <c r="A13" s="185" t="s">
        <v>1</v>
      </c>
      <c r="B13" s="1324">
        <v>562.1</v>
      </c>
      <c r="C13" s="1322"/>
      <c r="D13" s="1322"/>
      <c r="E13" s="1322">
        <v>2236.1</v>
      </c>
      <c r="F13" s="1323"/>
      <c r="G13" s="1319">
        <f t="shared" si="0"/>
        <v>2798.2</v>
      </c>
      <c r="H13" s="1325"/>
      <c r="I13" s="1326">
        <f t="shared" si="2"/>
        <v>562.1</v>
      </c>
      <c r="J13" s="1327"/>
      <c r="K13" s="1322">
        <v>2245</v>
      </c>
      <c r="L13" s="1323"/>
      <c r="M13" s="1328">
        <f t="shared" si="3"/>
        <v>2807.1</v>
      </c>
      <c r="N13" s="1329"/>
      <c r="O13" s="1326">
        <f t="shared" si="4"/>
        <v>562.1</v>
      </c>
      <c r="P13" s="1327"/>
      <c r="Q13" s="1322">
        <v>2255</v>
      </c>
      <c r="R13" s="1323"/>
      <c r="S13" s="1319">
        <f t="shared" si="1"/>
        <v>2817.1</v>
      </c>
      <c r="T13" s="1320"/>
      <c r="U13" s="1321"/>
    </row>
    <row r="14" spans="1:21" ht="29.25" customHeight="1">
      <c r="A14" s="185" t="s">
        <v>36</v>
      </c>
      <c r="B14" s="1324">
        <v>677.6</v>
      </c>
      <c r="C14" s="1322"/>
      <c r="D14" s="1322"/>
      <c r="E14" s="1322">
        <v>2318.9</v>
      </c>
      <c r="F14" s="1323"/>
      <c r="G14" s="1319">
        <f t="shared" si="0"/>
        <v>2996.5</v>
      </c>
      <c r="H14" s="1325"/>
      <c r="I14" s="1326">
        <f t="shared" si="2"/>
        <v>677.6</v>
      </c>
      <c r="J14" s="1327"/>
      <c r="K14" s="1322">
        <v>2325</v>
      </c>
      <c r="L14" s="1323"/>
      <c r="M14" s="1328">
        <f t="shared" si="3"/>
        <v>3002.6</v>
      </c>
      <c r="N14" s="1329"/>
      <c r="O14" s="1326">
        <f t="shared" si="4"/>
        <v>677.6</v>
      </c>
      <c r="P14" s="1327"/>
      <c r="Q14" s="1322">
        <v>2332</v>
      </c>
      <c r="R14" s="1323"/>
      <c r="S14" s="1319">
        <f t="shared" si="1"/>
        <v>3009.6</v>
      </c>
      <c r="T14" s="1320"/>
      <c r="U14" s="1321"/>
    </row>
    <row r="15" spans="1:21" ht="30" customHeight="1">
      <c r="A15" s="185" t="s">
        <v>31</v>
      </c>
      <c r="B15" s="1324">
        <v>589.8</v>
      </c>
      <c r="C15" s="1322"/>
      <c r="D15" s="1322"/>
      <c r="E15" s="1322">
        <v>2230.1</v>
      </c>
      <c r="F15" s="1323"/>
      <c r="G15" s="1319">
        <f t="shared" si="0"/>
        <v>2819.8999999999996</v>
      </c>
      <c r="H15" s="1325"/>
      <c r="I15" s="1326">
        <f t="shared" si="2"/>
        <v>589.8</v>
      </c>
      <c r="J15" s="1327"/>
      <c r="K15" s="1322">
        <v>2236</v>
      </c>
      <c r="L15" s="1323"/>
      <c r="M15" s="1328">
        <f t="shared" si="3"/>
        <v>2825.8</v>
      </c>
      <c r="N15" s="1329"/>
      <c r="O15" s="1326">
        <f t="shared" si="4"/>
        <v>589.8</v>
      </c>
      <c r="P15" s="1327"/>
      <c r="Q15" s="1322">
        <v>2242</v>
      </c>
      <c r="R15" s="1323"/>
      <c r="S15" s="1319">
        <f t="shared" si="1"/>
        <v>2831.8</v>
      </c>
      <c r="T15" s="1320"/>
      <c r="U15" s="1321"/>
    </row>
    <row r="16" spans="1:21" ht="30.75" customHeight="1">
      <c r="A16" s="186" t="s">
        <v>32</v>
      </c>
      <c r="B16" s="1382">
        <v>1114.6</v>
      </c>
      <c r="C16" s="1380"/>
      <c r="D16" s="1380"/>
      <c r="E16" s="1380">
        <v>2353.8</v>
      </c>
      <c r="F16" s="1381"/>
      <c r="G16" s="1383">
        <f t="shared" si="0"/>
        <v>3468.4</v>
      </c>
      <c r="H16" s="1384"/>
      <c r="I16" s="1326">
        <f t="shared" si="2"/>
        <v>1114.6</v>
      </c>
      <c r="J16" s="1327"/>
      <c r="K16" s="1380">
        <v>2360</v>
      </c>
      <c r="L16" s="1381"/>
      <c r="M16" s="1328">
        <f t="shared" si="3"/>
        <v>3474.6</v>
      </c>
      <c r="N16" s="1329"/>
      <c r="O16" s="1326">
        <f t="shared" si="4"/>
        <v>1114.6</v>
      </c>
      <c r="P16" s="1327"/>
      <c r="Q16" s="1380">
        <v>2370</v>
      </c>
      <c r="R16" s="1381"/>
      <c r="S16" s="1383">
        <f t="shared" si="1"/>
        <v>3484.6</v>
      </c>
      <c r="T16" s="1387"/>
      <c r="U16" s="1388"/>
    </row>
    <row r="17" spans="1:21" ht="29.25" customHeight="1" thickBot="1">
      <c r="A17" s="185" t="s">
        <v>33</v>
      </c>
      <c r="B17" s="1324">
        <v>1150.4</v>
      </c>
      <c r="C17" s="1322"/>
      <c r="D17" s="1322"/>
      <c r="E17" s="1322">
        <v>3468.2</v>
      </c>
      <c r="F17" s="1323"/>
      <c r="G17" s="1319">
        <f t="shared" si="0"/>
        <v>4618.6</v>
      </c>
      <c r="H17" s="1325"/>
      <c r="I17" s="1326">
        <f t="shared" si="2"/>
        <v>1150.4</v>
      </c>
      <c r="J17" s="1327"/>
      <c r="K17" s="1322">
        <v>3475</v>
      </c>
      <c r="L17" s="1323"/>
      <c r="M17" s="1328">
        <f t="shared" si="3"/>
        <v>4625.4</v>
      </c>
      <c r="N17" s="1329"/>
      <c r="O17" s="1326">
        <f t="shared" si="4"/>
        <v>1150.4</v>
      </c>
      <c r="P17" s="1327"/>
      <c r="Q17" s="1322">
        <v>3480</v>
      </c>
      <c r="R17" s="1323"/>
      <c r="S17" s="1319">
        <f t="shared" si="1"/>
        <v>4630.4</v>
      </c>
      <c r="T17" s="1320"/>
      <c r="U17" s="1321"/>
    </row>
    <row r="18" spans="1:21" ht="39.75" customHeight="1" thickBot="1">
      <c r="A18" s="187" t="s">
        <v>181</v>
      </c>
      <c r="B18" s="1398">
        <f>SUM(B8:D17)</f>
        <v>10414.4</v>
      </c>
      <c r="C18" s="1399"/>
      <c r="D18" s="1399"/>
      <c r="E18" s="1391">
        <f>SUM(E8:F17)</f>
        <v>35858.6</v>
      </c>
      <c r="F18" s="1392"/>
      <c r="G18" s="1393">
        <f>G8+G9+G10+G12+G13+G14+G15+G16+G17</f>
        <v>46273.00000000001</v>
      </c>
      <c r="H18" s="1400"/>
      <c r="I18" s="1398">
        <f>I8+I9+I10+I12+I13+I14+I15+I16+I17</f>
        <v>10414.4</v>
      </c>
      <c r="J18" s="1401"/>
      <c r="K18" s="1391">
        <f>SUM(K8:L17)</f>
        <v>35986.5</v>
      </c>
      <c r="L18" s="1392"/>
      <c r="M18" s="1385">
        <f t="shared" si="3"/>
        <v>46400.9</v>
      </c>
      <c r="N18" s="1386"/>
      <c r="O18" s="1389">
        <f>SUM(O8:P17)</f>
        <v>10414.4</v>
      </c>
      <c r="P18" s="1390"/>
      <c r="Q18" s="1391">
        <f>SUM(Q8:R17)</f>
        <v>36072.6</v>
      </c>
      <c r="R18" s="1392"/>
      <c r="S18" s="1393">
        <f t="shared" si="1"/>
        <v>46487</v>
      </c>
      <c r="T18" s="1394"/>
      <c r="U18" s="1395"/>
    </row>
    <row r="19" spans="1:7" ht="15.75">
      <c r="A19" s="188"/>
      <c r="B19" s="188"/>
      <c r="C19" s="188"/>
      <c r="D19" s="188"/>
      <c r="E19" s="188"/>
      <c r="F19" s="188"/>
      <c r="G19" s="183"/>
    </row>
    <row r="20" spans="1:21" ht="29.25" customHeight="1">
      <c r="A20" s="188"/>
      <c r="B20" s="188"/>
      <c r="C20" s="188"/>
      <c r="D20" s="188"/>
      <c r="E20" s="189"/>
      <c r="F20" s="188"/>
      <c r="G20" s="183"/>
      <c r="S20" s="1396"/>
      <c r="T20" s="1396"/>
      <c r="U20" s="1396"/>
    </row>
    <row r="21" spans="1:21" ht="28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S21" s="1397"/>
      <c r="T21" s="1397"/>
      <c r="U21" s="1397"/>
    </row>
    <row r="22" spans="1:17" ht="15.75">
      <c r="A22" s="191"/>
      <c r="B22" s="191"/>
      <c r="C22" s="192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</row>
  </sheetData>
  <sheetProtection/>
  <mergeCells count="118">
    <mergeCell ref="O18:P18"/>
    <mergeCell ref="Q18:R18"/>
    <mergeCell ref="S18:U18"/>
    <mergeCell ref="S20:U20"/>
    <mergeCell ref="S21:U21"/>
    <mergeCell ref="B18:D18"/>
    <mergeCell ref="E18:F18"/>
    <mergeCell ref="G18:H18"/>
    <mergeCell ref="I18:J18"/>
    <mergeCell ref="K18:L18"/>
    <mergeCell ref="M18:N18"/>
    <mergeCell ref="S16:U16"/>
    <mergeCell ref="B17:D17"/>
    <mergeCell ref="E17:F17"/>
    <mergeCell ref="G17:H17"/>
    <mergeCell ref="I17:J17"/>
    <mergeCell ref="K17:L17"/>
    <mergeCell ref="M17:N17"/>
    <mergeCell ref="O17:P17"/>
    <mergeCell ref="Q17:R17"/>
    <mergeCell ref="S17:U17"/>
    <mergeCell ref="Q15:R15"/>
    <mergeCell ref="S15:U15"/>
    <mergeCell ref="B16:D16"/>
    <mergeCell ref="E16:F16"/>
    <mergeCell ref="G16:H16"/>
    <mergeCell ref="I16:J16"/>
    <mergeCell ref="K16:L16"/>
    <mergeCell ref="M16:N16"/>
    <mergeCell ref="O16:P16"/>
    <mergeCell ref="Q16:R16"/>
    <mergeCell ref="O14:P14"/>
    <mergeCell ref="Q14:R14"/>
    <mergeCell ref="S14:U14"/>
    <mergeCell ref="B15:D15"/>
    <mergeCell ref="E15:F15"/>
    <mergeCell ref="G15:H15"/>
    <mergeCell ref="I15:J15"/>
    <mergeCell ref="K15:L15"/>
    <mergeCell ref="M15:N15"/>
    <mergeCell ref="Q13:R13"/>
    <mergeCell ref="S13:U13"/>
    <mergeCell ref="O15:P15"/>
    <mergeCell ref="B14:D14"/>
    <mergeCell ref="E14:F14"/>
    <mergeCell ref="G14:H14"/>
    <mergeCell ref="I14:J14"/>
    <mergeCell ref="K14:L14"/>
    <mergeCell ref="M14:N14"/>
    <mergeCell ref="O12:P12"/>
    <mergeCell ref="Q12:R12"/>
    <mergeCell ref="S12:U12"/>
    <mergeCell ref="B13:D13"/>
    <mergeCell ref="E13:F13"/>
    <mergeCell ref="G13:H13"/>
    <mergeCell ref="I13:J13"/>
    <mergeCell ref="K13:L13"/>
    <mergeCell ref="M13:N13"/>
    <mergeCell ref="O13:P13"/>
    <mergeCell ref="B12:D12"/>
    <mergeCell ref="E12:F12"/>
    <mergeCell ref="G12:H12"/>
    <mergeCell ref="I12:J12"/>
    <mergeCell ref="K12:L12"/>
    <mergeCell ref="M12:N12"/>
    <mergeCell ref="S6:U7"/>
    <mergeCell ref="B8:D8"/>
    <mergeCell ref="E8:F8"/>
    <mergeCell ref="G8:H8"/>
    <mergeCell ref="I8:J8"/>
    <mergeCell ref="K8:L8"/>
    <mergeCell ref="M8:N8"/>
    <mergeCell ref="O8:P8"/>
    <mergeCell ref="Q8:R8"/>
    <mergeCell ref="S8:U8"/>
    <mergeCell ref="G6:H7"/>
    <mergeCell ref="I6:J7"/>
    <mergeCell ref="K6:L7"/>
    <mergeCell ref="M6:N7"/>
    <mergeCell ref="O6:P7"/>
    <mergeCell ref="Q6:R7"/>
    <mergeCell ref="A1:U1"/>
    <mergeCell ref="A2:U2"/>
    <mergeCell ref="A3:U3"/>
    <mergeCell ref="S4:U4"/>
    <mergeCell ref="A5:A7"/>
    <mergeCell ref="B5:H5"/>
    <mergeCell ref="I5:N5"/>
    <mergeCell ref="O5:U5"/>
    <mergeCell ref="B6:D7"/>
    <mergeCell ref="E6:F7"/>
    <mergeCell ref="O10:P10"/>
    <mergeCell ref="B9:D9"/>
    <mergeCell ref="E9:F9"/>
    <mergeCell ref="G9:H9"/>
    <mergeCell ref="I9:J9"/>
    <mergeCell ref="K9:L9"/>
    <mergeCell ref="M9:N9"/>
    <mergeCell ref="Q11:R11"/>
    <mergeCell ref="O9:P9"/>
    <mergeCell ref="Q9:R9"/>
    <mergeCell ref="S9:U9"/>
    <mergeCell ref="B10:D10"/>
    <mergeCell ref="E10:F10"/>
    <mergeCell ref="G10:H10"/>
    <mergeCell ref="I10:J10"/>
    <mergeCell ref="K10:L10"/>
    <mergeCell ref="M10:N10"/>
    <mergeCell ref="S11:U11"/>
    <mergeCell ref="Q10:R10"/>
    <mergeCell ref="S10:U10"/>
    <mergeCell ref="B11:D11"/>
    <mergeCell ref="E11:F11"/>
    <mergeCell ref="G11:H11"/>
    <mergeCell ref="I11:J11"/>
    <mergeCell ref="K11:L11"/>
    <mergeCell ref="M11:N11"/>
    <mergeCell ref="O11:P11"/>
  </mergeCells>
  <printOptions/>
  <pageMargins left="0.18" right="0.22" top="0.7480314960629921" bottom="0.7480314960629921" header="0.31496062992125984" footer="0.31496062992125984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Швец Элина Александровна</cp:lastModifiedBy>
  <cp:lastPrinted>2014-12-19T06:08:36Z</cp:lastPrinted>
  <dcterms:created xsi:type="dcterms:W3CDTF">2002-04-21T04:23:27Z</dcterms:created>
  <dcterms:modified xsi:type="dcterms:W3CDTF">2014-12-21T23:30:22Z</dcterms:modified>
  <cp:category/>
  <cp:version/>
  <cp:contentType/>
  <cp:contentStatus/>
</cp:coreProperties>
</file>