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firstSheet="20" activeTab="28"/>
  </bookViews>
  <sheets>
    <sheet name="Субв КПДН" sheetId="1" r:id="rId1"/>
    <sheet name="опека-свод" sheetId="2" r:id="rId2"/>
    <sheet name="опека-минтруд" sheetId="3" r:id="rId3"/>
    <sheet name="опека-минобр" sheetId="4" r:id="rId4"/>
    <sheet name="кл. рук-во" sheetId="5" r:id="rId5"/>
    <sheet name="жилье дети-сир" sheetId="6" r:id="rId6"/>
    <sheet name="пед работники" sheetId="7" r:id="rId7"/>
    <sheet name="летн отдых" sheetId="8" r:id="rId8"/>
    <sheet name="автобус" sheetId="9" r:id="rId9"/>
    <sheet name="льготы ЖКХ (обр)" sheetId="10" r:id="rId10"/>
    <sheet name="адресн.резерв" sheetId="11" r:id="rId11"/>
    <sheet name="обр процесс ДОУ" sheetId="12" r:id="rId12"/>
    <sheet name="обр процесс школы" sheetId="13" r:id="rId13"/>
    <sheet name="питание" sheetId="14" r:id="rId14"/>
    <sheet name="завтрак" sheetId="15" r:id="rId15"/>
    <sheet name="субв категория" sheetId="16" r:id="rId16"/>
    <sheet name="спорт" sheetId="17" r:id="rId17"/>
    <sheet name="присмотр ДОУ" sheetId="18" r:id="rId18"/>
    <sheet name="выезжающ" sheetId="19" r:id="rId19"/>
    <sheet name="повыш квал" sheetId="20" r:id="rId20"/>
    <sheet name="доппроф обр" sheetId="21" r:id="rId21"/>
    <sheet name="кадр резерв" sheetId="22" r:id="rId22"/>
    <sheet name="соц оринт" sheetId="23" r:id="rId23"/>
    <sheet name="гармониз" sheetId="24" r:id="rId24"/>
    <sheet name="почетн" sheetId="25" r:id="rId25"/>
    <sheet name="адм комис" sheetId="26" r:id="rId26"/>
    <sheet name="кадастр" sheetId="27" r:id="rId27"/>
    <sheet name="Загс" sheetId="28" r:id="rId28"/>
    <sheet name="военкомат" sheetId="29" r:id="rId29"/>
    <sheet name="ЖКУ культ" sheetId="30" r:id="rId30"/>
    <sheet name="библ дело" sheetId="31" r:id="rId31"/>
    <sheet name="расчет средств ярмарки " sheetId="32" r:id="rId32"/>
  </sheets>
  <definedNames>
    <definedName name="_xlnm.Print_Titles" localSheetId="18">'выезжающ'!$4:$4</definedName>
    <definedName name="_xlnm.Print_Titles" localSheetId="15">'субв категория'!$5:$6</definedName>
    <definedName name="_xlnm.Print_Area" localSheetId="7">'летн отдых'!$A$1:$Z$34</definedName>
    <definedName name="_xlnm.Print_Area" localSheetId="3">'опека-минобр'!$A$1:$Z$41</definedName>
    <definedName name="_xlnm.Print_Area" localSheetId="15">'субв категория'!$A$1:$S$179</definedName>
  </definedNames>
  <calcPr fullCalcOnLoad="1"/>
</workbook>
</file>

<file path=xl/comments14.xml><?xml version="1.0" encoding="utf-8"?>
<comments xmlns="http://schemas.openxmlformats.org/spreadsheetml/2006/main">
  <authors>
    <author>Автор</author>
  </authors>
  <commentList>
    <comment ref="K32" authorId="0">
      <text>
        <r>
          <rPr>
            <b/>
            <sz val="8"/>
            <rFont val="Tahoma"/>
            <family val="2"/>
          </rPr>
          <t>+6 УКП</t>
        </r>
      </text>
    </comment>
    <comment ref="K37" authorId="0">
      <text>
        <r>
          <rPr>
            <b/>
            <sz val="8"/>
            <rFont val="Tahoma"/>
            <family val="2"/>
          </rPr>
          <t>+20 инд.об.</t>
        </r>
      </text>
    </comment>
    <comment ref="J38" authorId="0">
      <text>
        <r>
          <rPr>
            <b/>
            <sz val="8"/>
            <rFont val="Tahoma"/>
            <family val="2"/>
          </rPr>
          <t xml:space="preserve">+18 инд.об.
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+3 инд.обуч.
</t>
        </r>
      </text>
    </comment>
    <comment ref="K39" authorId="0">
      <text>
        <r>
          <rPr>
            <b/>
            <sz val="8"/>
            <rFont val="Tahoma"/>
            <family val="2"/>
          </rPr>
          <t>+1 инд.об.</t>
        </r>
      </text>
    </comment>
    <comment ref="J40" authorId="0">
      <text>
        <r>
          <rPr>
            <b/>
            <sz val="8"/>
            <rFont val="Tahoma"/>
            <family val="2"/>
          </rPr>
          <t>+7 инд.об.</t>
        </r>
      </text>
    </comment>
    <comment ref="K40" authorId="0">
      <text>
        <r>
          <rPr>
            <b/>
            <sz val="8"/>
            <rFont val="Tahoma"/>
            <family val="2"/>
          </rPr>
          <t>+9 инд.об.</t>
        </r>
      </text>
    </comment>
    <comment ref="K55" authorId="0">
      <text>
        <r>
          <rPr>
            <b/>
            <sz val="8"/>
            <rFont val="Tahoma"/>
            <family val="2"/>
          </rPr>
          <t>+15 УКП</t>
        </r>
      </text>
    </comment>
    <comment ref="K57" authorId="0">
      <text>
        <r>
          <rPr>
            <b/>
            <sz val="8"/>
            <rFont val="Tahoma"/>
            <family val="2"/>
          </rPr>
          <t>+23 УКП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C44" authorId="0">
      <text>
        <r>
          <rPr>
            <b/>
            <sz val="8"/>
            <rFont val="Tahoma"/>
            <family val="2"/>
          </rPr>
          <t>588 пед.р</t>
        </r>
      </text>
    </comment>
    <comment ref="E44" authorId="0">
      <text>
        <r>
          <rPr>
            <b/>
            <sz val="8"/>
            <rFont val="Tahoma"/>
            <family val="2"/>
          </rPr>
          <t>720 пед.р.</t>
        </r>
      </text>
    </comment>
    <comment ref="C45" authorId="0">
      <text>
        <r>
          <rPr>
            <b/>
            <sz val="8"/>
            <rFont val="Tahoma"/>
            <family val="2"/>
          </rPr>
          <t xml:space="preserve">53 пед.р
</t>
        </r>
      </text>
    </comment>
    <comment ref="E45" authorId="0">
      <text>
        <r>
          <rPr>
            <b/>
            <sz val="8"/>
            <rFont val="Tahoma"/>
            <family val="2"/>
          </rPr>
          <t>120 пед.р</t>
        </r>
      </text>
    </comment>
    <comment ref="C46" authorId="0">
      <text>
        <r>
          <rPr>
            <b/>
            <sz val="8"/>
            <rFont val="Tahoma"/>
            <family val="2"/>
          </rPr>
          <t>42 пед.р</t>
        </r>
      </text>
    </comment>
    <comment ref="E46" authorId="0">
      <text>
        <r>
          <rPr>
            <b/>
            <sz val="8"/>
            <rFont val="Tahoma"/>
            <family val="2"/>
          </rPr>
          <t>49 пед.р</t>
        </r>
      </text>
    </comment>
    <comment ref="C47" authorId="0">
      <text>
        <r>
          <rPr>
            <b/>
            <sz val="8"/>
            <rFont val="Tahoma"/>
            <family val="2"/>
          </rPr>
          <t>16 пед.р</t>
        </r>
      </text>
    </comment>
    <comment ref="E47" authorId="0">
      <text>
        <r>
          <rPr>
            <b/>
            <sz val="8"/>
            <rFont val="Tahoma"/>
            <family val="2"/>
          </rPr>
          <t>35 пед.р</t>
        </r>
      </text>
    </comment>
    <comment ref="C48" authorId="0">
      <text>
        <r>
          <rPr>
            <b/>
            <sz val="8"/>
            <rFont val="Tahoma"/>
            <family val="2"/>
          </rPr>
          <t>19 пед.р</t>
        </r>
      </text>
    </comment>
    <comment ref="E48" authorId="0">
      <text>
        <r>
          <rPr>
            <b/>
            <sz val="8"/>
            <rFont val="Tahoma"/>
            <family val="2"/>
          </rPr>
          <t>32 пед.р</t>
        </r>
      </text>
    </comment>
    <comment ref="C49" authorId="0">
      <text>
        <r>
          <rPr>
            <b/>
            <sz val="8"/>
            <rFont val="Tahoma"/>
            <family val="2"/>
          </rPr>
          <t>29 пед.р</t>
        </r>
      </text>
    </comment>
    <comment ref="E49" authorId="0">
      <text>
        <r>
          <rPr>
            <b/>
            <sz val="8"/>
            <rFont val="Tahoma"/>
            <family val="2"/>
          </rPr>
          <t>62 пед.р.</t>
        </r>
      </text>
    </comment>
    <comment ref="C50" authorId="0">
      <text>
        <r>
          <rPr>
            <b/>
            <sz val="8"/>
            <rFont val="Tahoma"/>
            <family val="2"/>
          </rPr>
          <t>31 пед.р</t>
        </r>
      </text>
    </comment>
    <comment ref="E50" authorId="0">
      <text>
        <r>
          <rPr>
            <b/>
            <sz val="8"/>
            <rFont val="Tahoma"/>
            <family val="2"/>
          </rPr>
          <t>49 пед.р</t>
        </r>
      </text>
    </comment>
    <comment ref="C51" authorId="0">
      <text>
        <r>
          <rPr>
            <b/>
            <sz val="8"/>
            <rFont val="Tahoma"/>
            <family val="2"/>
          </rPr>
          <t>32 пед.р</t>
        </r>
      </text>
    </comment>
    <comment ref="E51" authorId="0">
      <text>
        <r>
          <rPr>
            <b/>
            <sz val="8"/>
            <rFont val="Tahoma"/>
            <family val="2"/>
          </rPr>
          <t>69 пед.р</t>
        </r>
      </text>
    </comment>
    <comment ref="C52" authorId="0">
      <text>
        <r>
          <rPr>
            <b/>
            <sz val="8"/>
            <rFont val="Tahoma"/>
            <family val="2"/>
          </rPr>
          <t>37 пед.р</t>
        </r>
      </text>
    </comment>
    <comment ref="E52" authorId="0">
      <text>
        <r>
          <rPr>
            <b/>
            <sz val="8"/>
            <rFont val="Tahoma"/>
            <family val="2"/>
          </rPr>
          <t>84 пед.р</t>
        </r>
      </text>
    </comment>
  </commentList>
</comments>
</file>

<file path=xl/comments19.xml><?xml version="1.0" encoding="utf-8"?>
<comments xmlns="http://schemas.openxmlformats.org/spreadsheetml/2006/main">
  <authors>
    <author>Nnn</author>
  </authors>
  <commentList>
    <comment ref="A7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65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5 тыс.руб - бумага, и 75
 рублей на одну семью состоящюю в очереди (одно личное учетное дело)</t>
        </r>
      </text>
    </comment>
  </commentList>
</comments>
</file>

<file path=xl/comments32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ставим общее количество по ГО</t>
        </r>
      </text>
    </comment>
  </commentList>
</comments>
</file>

<file path=xl/sharedStrings.xml><?xml version="1.0" encoding="utf-8"?>
<sst xmlns="http://schemas.openxmlformats.org/spreadsheetml/2006/main" count="1369" uniqueCount="599">
  <si>
    <t>Ольский район</t>
  </si>
  <si>
    <t>Северо-Эвенский район</t>
  </si>
  <si>
    <t>Среднеканский район</t>
  </si>
  <si>
    <t>Вид расходов</t>
  </si>
  <si>
    <t>Наименование муниципального образования</t>
  </si>
  <si>
    <t>Омсукчанский район</t>
  </si>
  <si>
    <t>Тенькинский район</t>
  </si>
  <si>
    <t>Хасынский район</t>
  </si>
  <si>
    <t>Ягоднинский район</t>
  </si>
  <si>
    <t>РАСЧЕТ</t>
  </si>
  <si>
    <t>Город Магадан</t>
  </si>
  <si>
    <t>Сусуманский район</t>
  </si>
  <si>
    <t>Всего:</t>
  </si>
  <si>
    <t>в том числе:</t>
  </si>
  <si>
    <t>г. Магадан</t>
  </si>
  <si>
    <t>ИТОГО:</t>
  </si>
  <si>
    <t>ВСЕГО</t>
  </si>
  <si>
    <t>Количество несовершеннолетних детей</t>
  </si>
  <si>
    <t>свыше 1500</t>
  </si>
  <si>
    <t>от 800 до 1500</t>
  </si>
  <si>
    <t>менее 800</t>
  </si>
  <si>
    <t>Численность специалистов комиссии, всего</t>
  </si>
  <si>
    <t xml:space="preserve">главный специалист </t>
  </si>
  <si>
    <t xml:space="preserve">ведущий специалист </t>
  </si>
  <si>
    <t>заведующий сектором</t>
  </si>
  <si>
    <t>заведующий сектор-заместитель председателя комиссии</t>
  </si>
  <si>
    <t>Объем субвенции муниципальному образованию (Zi), тыс. рублей</t>
  </si>
  <si>
    <t>дополнительные  средства</t>
  </si>
  <si>
    <t>Объем субвенции муниципальному образованию 2015 год</t>
  </si>
  <si>
    <t>Объем субвенции муниципальному образованию 2017 год</t>
  </si>
  <si>
    <t>тыс. рублей</t>
  </si>
  <si>
    <t>Наименование МО</t>
  </si>
  <si>
    <t>г.Магадан</t>
  </si>
  <si>
    <t>Итого:</t>
  </si>
  <si>
    <t>Расчет субвенций</t>
  </si>
  <si>
    <t>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</t>
  </si>
  <si>
    <t>численность специа-листов                                                            (чел.)</t>
  </si>
  <si>
    <t>Размер ставки специалиста</t>
  </si>
  <si>
    <t xml:space="preserve">Размер  должностного оклада </t>
  </si>
  <si>
    <t>Сумма доплаты районного коэффициента  и процентной надбавки к заработной плате работников организаций, расположенных на территории Магаданской области</t>
  </si>
  <si>
    <t>Размер оплаты труда с учетом ежемесячных дополнительных выплат с учетом районного коэффициента  и процентной надбавки</t>
  </si>
  <si>
    <t>Размер оплаты труда с учетом размера занимаемой ставки</t>
  </si>
  <si>
    <t>Размер оплаты труда с учетом численности специалистов</t>
  </si>
  <si>
    <t>Расчет годового фонда зар.платы (руб.)</t>
  </si>
  <si>
    <t>H</t>
  </si>
  <si>
    <t>Si</t>
  </si>
  <si>
    <t>О</t>
  </si>
  <si>
    <t>ОК₁</t>
  </si>
  <si>
    <t>К₂=(О+ОК₁)</t>
  </si>
  <si>
    <t xml:space="preserve"> Si</t>
  </si>
  <si>
    <t>Н</t>
  </si>
  <si>
    <t>К</t>
  </si>
  <si>
    <t>г.Магадан, в том числе</t>
  </si>
  <si>
    <t xml:space="preserve">     консультант</t>
  </si>
  <si>
    <t xml:space="preserve">     главный специалист</t>
  </si>
  <si>
    <t xml:space="preserve">     ведущий специалист</t>
  </si>
  <si>
    <t>Сумма средств на предоставление работникам гарантий и компенсаций, установленных статьями 168 и 325 ТК РФ (КОСГУ 212, 222, 226)</t>
  </si>
  <si>
    <t>Сумма средств, предусмотренная на оплату услуг связи (КОСГУ 221)</t>
  </si>
  <si>
    <t>Сумма средств, предусмотренная на оплату коммунальных услуг (КОСГУ 223)</t>
  </si>
  <si>
    <t>Сумма средств, предусмотренная на оплату услуг по содержанию имущества (КОСГУ 225)</t>
  </si>
  <si>
    <t>Сумма средств, предусмотренная на оплату прочих услуг (КОСГУ 226)</t>
  </si>
  <si>
    <t>Сумма средств, предусмотренная на приобретение основных средств (КОСГУ 310) и материальных запасов (КОСГУ 340)</t>
  </si>
  <si>
    <t>Итого годовой объём субвенции (рублей)</t>
  </si>
  <si>
    <t>G</t>
  </si>
  <si>
    <t>C</t>
  </si>
  <si>
    <t>Q</t>
  </si>
  <si>
    <t>P</t>
  </si>
  <si>
    <t>M</t>
  </si>
  <si>
    <t>Z</t>
  </si>
  <si>
    <t>Vci</t>
  </si>
  <si>
    <t>Наименование районов</t>
  </si>
  <si>
    <t>Наименование должности</t>
  </si>
  <si>
    <t>N</t>
  </si>
  <si>
    <t>K1</t>
  </si>
  <si>
    <t>K2</t>
  </si>
  <si>
    <t>Итого</t>
  </si>
  <si>
    <t>И того</t>
  </si>
  <si>
    <t>K</t>
  </si>
  <si>
    <t>R</t>
  </si>
  <si>
    <t>размер должност-ного оклада (руб.)</t>
  </si>
  <si>
    <t xml:space="preserve">ежемесяч-ные и иные дополни-тельные выплаты </t>
  </si>
  <si>
    <t>размер р/коэф. и % надбавки (руб.)</t>
  </si>
  <si>
    <t>числен-ность специа-листов                                                            (чел.)</t>
  </si>
  <si>
    <t>в месяц</t>
  </si>
  <si>
    <t>ФОТ на 12 месяцев</t>
  </si>
  <si>
    <t>на 3 мес             (окт-дек)</t>
  </si>
  <si>
    <t>размер страховых взносов</t>
  </si>
  <si>
    <t>ФОТ с начисл-ми на январь-декабрь (руб.)</t>
  </si>
  <si>
    <t>ФОТ с начисл-ми в год (тыс.руб)</t>
  </si>
  <si>
    <t>КОСГУ 212, 222, 224, 290</t>
  </si>
  <si>
    <t>КОСГУ 221</t>
  </si>
  <si>
    <t>КОСГУ 223</t>
  </si>
  <si>
    <t>КОСГУ 225</t>
  </si>
  <si>
    <t>КОСГУ 226</t>
  </si>
  <si>
    <t>КОСГУ 310,340</t>
  </si>
  <si>
    <t>Начальник отдела</t>
  </si>
  <si>
    <t>Зам. начальника</t>
  </si>
  <si>
    <t>Главный специалист</t>
  </si>
  <si>
    <t>Ведущий специалист</t>
  </si>
  <si>
    <t>Специалист I кат.</t>
  </si>
  <si>
    <t>Водитель</t>
  </si>
  <si>
    <t>Консультант</t>
  </si>
  <si>
    <t xml:space="preserve">Расчет </t>
  </si>
  <si>
    <t>тыс. руб.</t>
  </si>
  <si>
    <t xml:space="preserve">РАСЧЕТ </t>
  </si>
  <si>
    <t>ФОТ на 01.08.09 в месяц</t>
  </si>
  <si>
    <t>всего</t>
  </si>
  <si>
    <t>Расчет</t>
  </si>
  <si>
    <t>Среднеканский городской  округ</t>
  </si>
  <si>
    <t>Омсукчанский городской округ</t>
  </si>
  <si>
    <t>Омсукчанский  городской  округ</t>
  </si>
  <si>
    <t>Долностной оклад (N), тыс. рублей</t>
  </si>
  <si>
    <t>Среднеканский городской округ</t>
  </si>
  <si>
    <t>Ольский городской округ</t>
  </si>
  <si>
    <t>Количество дней в одну смену (n)</t>
  </si>
  <si>
    <t>2-ух разовое питание</t>
  </si>
  <si>
    <t>Северо-Эвенский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</si>
  <si>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</si>
  <si>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</si>
  <si>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</si>
  <si>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</si>
  <si>
    <t>Стоимость питания одного дня пребывания, руб. (с)</t>
  </si>
  <si>
    <t>Стоимость медикаментов в день, руб. (m)</t>
  </si>
  <si>
    <t>2-х разовое питание</t>
  </si>
  <si>
    <t>3-х разовое питание</t>
  </si>
  <si>
    <t>Расходы на оплату путевок в лагерях с дневным пребыванием, тыс. руб. (D)</t>
  </si>
  <si>
    <t>Размер стоимости страхования, руб. (s)</t>
  </si>
  <si>
    <t>Численность детей, чел. (k)</t>
  </si>
  <si>
    <t>Стоимость культурно-массовых и спортивных мероприятий в день, руб. (t)</t>
  </si>
  <si>
    <t>Стоимость питания одного дня пребыания, руб. (с)</t>
  </si>
  <si>
    <t>Объем субсидии бюджету i-го муниципаьного образования на организацию отдыха детей в каникулярное время (S1)</t>
  </si>
  <si>
    <t>Объем субсидии бюджету i-го муниципального образования на частичное возмещение расходов по оплате труда педагогическим работникам лагерей с дневным пребыванием (S2)</t>
  </si>
  <si>
    <t>S1 + S2</t>
  </si>
  <si>
    <t>Числен-ность детей, чел. (k)</t>
  </si>
  <si>
    <t>Расходы на оплату путевок в однодневных походах, тыс. руб. (Р)</t>
  </si>
  <si>
    <t>1. Объем субсидии из областного бюджета бюджетам муниципальных образований на организацию отдыха детей в каникулярное время (S1):</t>
  </si>
  <si>
    <t>государственной программы Магаданской области "Развитие образования в Магаданской области на 2014-2020 годы"</t>
  </si>
  <si>
    <t xml:space="preserve">в рамках подпрограммы "Организация и обеспечение отдыха и оздоровление детей в Магаданской области" на 2014-2020 годы" </t>
  </si>
  <si>
    <t>Количество педагогических работников лагерей с дневным пребыванием, чел. (k)</t>
  </si>
  <si>
    <t>Средняя ежемесячная плата педагогических работников лагерей с дневным пребыванием, руб.(m)</t>
  </si>
  <si>
    <t>Ежемесячный размер оплаты труда за счет средств местного бюджета муниципального образования на оплату труда педагогическим работникам лагерей с дневным пребыванием детей, руб. (n)</t>
  </si>
  <si>
    <t>2. 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(S2):</t>
  </si>
  <si>
    <t>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(S2):</t>
  </si>
  <si>
    <t>3. Общий объем субсидии бюджетам муниципальных образований на организацию отдыха и оздоровление детей в лашерях дневного пребывания</t>
  </si>
  <si>
    <t>Утверждено на 2016г</t>
  </si>
  <si>
    <t>Общий объем субсидий, предоставляемых бюджетам муниципальных образований в текущем году (Si)</t>
  </si>
  <si>
    <t>Объем средств, необходимый  i-му муниципальному образованию по заявке (Q)</t>
  </si>
  <si>
    <t>ФОТ</t>
  </si>
  <si>
    <t>ФМО</t>
  </si>
  <si>
    <t>СОШ п. Дукат</t>
  </si>
  <si>
    <t>СОШ п. Омчак</t>
  </si>
  <si>
    <t>СОШ п. Талая</t>
  </si>
  <si>
    <t>СОШ п. Дебин</t>
  </si>
  <si>
    <t>Количество обучающихся в муниципальных образовательных организациях, расположенных в городской местности, чел. (Kri)</t>
  </si>
  <si>
    <t>Количество обучающихся муниципальных образовательных организаций, расположенных в сельской местности, чел. (Kci)</t>
  </si>
  <si>
    <t>Наполняемость в классе не менее наполняемости, установленной для образовательных организаций в соответствии с порядком организации и осуществления образовательной деятельности по соответствующим образовательным программам, чел. (H)</t>
  </si>
  <si>
    <t>Наполняемость в классе 14 и более человек в образовательных организациях, расположенных в сельской местности, чел. (M)</t>
  </si>
  <si>
    <t>Размер ежемесячного вознаграждения за классное руководиство в классе с наполняемостью не менее наполняемости, установленной для образовательных организаций порядком организации и осуществелния образовательной деятельности по соответствующим образовательным программам, либо в классе с нанаполняемостью 14 и более человек в образовательных организациях, расположенных в сельской местности, руб. (1000 руб.)</t>
  </si>
  <si>
    <t>Коэффициентт, учитывающий размер районного коэффициента и процентной надбавки к заработной плате работников организаций, расположенных на территории Магаданской области, (k1)</t>
  </si>
  <si>
    <t>Коэффициент, учитывающий размер отчислений по страховым взносам на обязательное пенсионное страхование, на обязательное медицинское 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(k2)</t>
  </si>
  <si>
    <t>Количество месяцев в году, (12)</t>
  </si>
  <si>
    <t>Численность педагогических работников муниципальных дошокльных образовательных организаций, муниципальных организаций дополнительного образования, муниципальных общеобразовательных организаций муниципального образования, чел. (Ni)</t>
  </si>
  <si>
    <t>Коэффициент, учитывающий районный коэффициент и процентные надбавки к заработной плате за работу в районах Крайнего Севера, (k)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</si>
  <si>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(t)</t>
  </si>
  <si>
    <t>Доплата в размере 1047 рублей, тыс. руб. ®</t>
  </si>
  <si>
    <t>Ягоднинский гордской округ</t>
  </si>
  <si>
    <t>Численность учащихся, чел.</t>
  </si>
  <si>
    <t>ОШ-1 на 2014-2015гг (без ОСОШ, УКП)</t>
  </si>
  <si>
    <t>отчет охваченных пит.</t>
  </si>
  <si>
    <t>Численность учащихся, охваченных горячим питанием, чел.</t>
  </si>
  <si>
    <t>Средний % охвата гор.пит.</t>
  </si>
  <si>
    <t>Численность учащихся, охваченных горячим питанием, чел. (n1, n2)</t>
  </si>
  <si>
    <t>Размер ср-в на обесп-е пит. на 1-го уч-ся, руб. (p1, p2)</t>
  </si>
  <si>
    <t>Утверждено на 2015г (Действующие)</t>
  </si>
  <si>
    <t>Отклонение (+ избыток; - недостат.)</t>
  </si>
  <si>
    <t xml:space="preserve">Общий объем субсидии в 2017 году </t>
  </si>
  <si>
    <t xml:space="preserve">Общий объем субсидии в 2018 году </t>
  </si>
  <si>
    <t>в 1-4 кл</t>
  </si>
  <si>
    <t>в 5-11 кл</t>
  </si>
  <si>
    <t xml:space="preserve">всего  </t>
  </si>
  <si>
    <t>в 1-4 кл (n1)</t>
  </si>
  <si>
    <t>в 5-11 кл (n2)</t>
  </si>
  <si>
    <t>в 1-4 кл (p1)</t>
  </si>
  <si>
    <t>в 5-11 кл (p2)</t>
  </si>
  <si>
    <t>МКОУ "СОШ п. Ола"</t>
  </si>
  <si>
    <t>МКОУ "СОШ п. Армань"</t>
  </si>
  <si>
    <t>МКОУ "СОШ с. Клепка"</t>
  </si>
  <si>
    <t>МКОУ "СОШ с. Тауйск"</t>
  </si>
  <si>
    <t>МКОУ "ООШ с. Талон"</t>
  </si>
  <si>
    <t>МКОУ "ООШ с. Тахтоямск"</t>
  </si>
  <si>
    <t>МКОУ "Н/ш - Д/С с. Гадля"</t>
  </si>
  <si>
    <t>МКОУ "Н/Ш - Д/С с. Балаганное"</t>
  </si>
  <si>
    <t>МКОУ "НОШ с. Ямск"</t>
  </si>
  <si>
    <t>СОШ п. Омсукчан</t>
  </si>
  <si>
    <t>ООШ п. Омсукчан</t>
  </si>
  <si>
    <t>МБОШИ п. Эвенск</t>
  </si>
  <si>
    <t>МКОУ " СОШ с. Гижига"</t>
  </si>
  <si>
    <t>МКОУ "Н/Ш-Д/С с. Гарманда"</t>
  </si>
  <si>
    <t>МКОУ "Н/Ш-Д/С с. Тополовка"</t>
  </si>
  <si>
    <t>МКОУ "Н/Ш-Д/С с. В. Парень"</t>
  </si>
  <si>
    <t>СОШ п. Сеймчан</t>
  </si>
  <si>
    <t>СОШ с. В.Сеймчан</t>
  </si>
  <si>
    <t>МБОУ "Лицей г. Сусуман"</t>
  </si>
  <si>
    <t>МБОУ "СОШ № 1 г. Сусуман"</t>
  </si>
  <si>
    <t>МБОУ "НОШ г.Сусуман"</t>
  </si>
  <si>
    <t>МБОУ "ООШ п. Холодный"</t>
  </si>
  <si>
    <t>МБОУ "ООШ п. Мяунджа"</t>
  </si>
  <si>
    <t>СОШ п. Усть-Омчуг</t>
  </si>
  <si>
    <t>СОШ № 1</t>
  </si>
  <si>
    <t>СОШ № 2</t>
  </si>
  <si>
    <t>СОШ п. Стекольный</t>
  </si>
  <si>
    <t>СОШ п.Атка</t>
  </si>
  <si>
    <t>Н/ш-д/с п. Хасын</t>
  </si>
  <si>
    <t>СОШ п. Ягодное</t>
  </si>
  <si>
    <t>НОШ п. Ягодное</t>
  </si>
  <si>
    <t>СОШ п. Синегорье</t>
  </si>
  <si>
    <t>СОШ п. Оротукан</t>
  </si>
  <si>
    <t>Н/ш-д/с п. Бурхала</t>
  </si>
  <si>
    <t>Численность учащихся по предварительному комплектованию, чел.</t>
  </si>
  <si>
    <t>Уровень софинансироования i-го муниципального образования (Qi)</t>
  </si>
  <si>
    <t>Общий объем уровня софинансирования муниципальными образованиями (Oi)</t>
  </si>
  <si>
    <t>Общий объем средств, необходимый муниципальным образованиям по заявке(O)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</si>
  <si>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обучающимися в дошкольных образовательных организациях (S)</t>
  </si>
  <si>
    <t>Дополнительные выплаты работникам муниципальных образовательных организаций</t>
  </si>
  <si>
    <t>Числ-ть работников всего</t>
  </si>
  <si>
    <t>в том числе</t>
  </si>
  <si>
    <t xml:space="preserve">Размер доплаты </t>
  </si>
  <si>
    <t>Районный коэф-т, процентные надбавки</t>
  </si>
  <si>
    <t>Отчисления по страх. взносам</t>
  </si>
  <si>
    <t>Общий объем субвенции в 2016 году</t>
  </si>
  <si>
    <t>Общий объем субвенции в 2017 году</t>
  </si>
  <si>
    <t>Общий объем субвенции в 2018 году</t>
  </si>
  <si>
    <t>Дошк. образ. орг-ии</t>
  </si>
  <si>
    <t xml:space="preserve">Организации доп. образ-я детей </t>
  </si>
  <si>
    <t>Общеобр. орг-ии</t>
  </si>
  <si>
    <t>S1i = p * Ni</t>
  </si>
  <si>
    <t>Ni</t>
  </si>
  <si>
    <t>p</t>
  </si>
  <si>
    <t>Единовременное пособие при выходе на пенсию</t>
  </si>
  <si>
    <t>S2i = r * Ni * t</t>
  </si>
  <si>
    <t xml:space="preserve">r </t>
  </si>
  <si>
    <t>t</t>
  </si>
  <si>
    <t>Единовременное пособие молодому специалисту при заключении трудового договора с муниципальной образовательной организацией</t>
  </si>
  <si>
    <t>S3i = ((q1 * Ni1 * k) + (q2 * Ni2 * k) + (q3 * Ni3 * k)) * t *12</t>
  </si>
  <si>
    <t>N1, N2, N3</t>
  </si>
  <si>
    <t>q1, q2, q3</t>
  </si>
  <si>
    <t>k</t>
  </si>
  <si>
    <t>Ежемесячная доплата за соответствующую квалификационную категорию:</t>
  </si>
  <si>
    <t>- высшую</t>
  </si>
  <si>
    <t>- первую</t>
  </si>
  <si>
    <t>-вторую</t>
  </si>
  <si>
    <t>S4i = h * Ni * k * t * 12</t>
  </si>
  <si>
    <t>h</t>
  </si>
  <si>
    <t>Ежемесячная доплата педагогическим работникам, имеющим звание «Почетный работник образования Магаданской области»</t>
  </si>
  <si>
    <t>S5i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</si>
  <si>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с отличием (до получения квал.кат.,но не более первых 3 лет работы)</t>
  </si>
  <si>
    <t>S6i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</si>
  <si>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(до получения квал.кат.,но не более первых 3 лет работы)</t>
  </si>
  <si>
    <t>S7i = ((h1 * Ni1 * k) + (h2 * Ni2 * k)) * t * 12</t>
  </si>
  <si>
    <t>Ni1, Ni1</t>
  </si>
  <si>
    <t>h1, h1</t>
  </si>
  <si>
    <t>Ежемесячная доплата лицам,  в образовательной организации, удаленной от административного центра Магаданской области, замещающим должность:</t>
  </si>
  <si>
    <t>- библиотекарь</t>
  </si>
  <si>
    <t xml:space="preserve">- заведующий библиотекой </t>
  </si>
  <si>
    <t>S8i = ((h1 * Ni1 * k) + (h2 * Ni2 * k) + (h3 * Ni3 * k)) * t * 12</t>
  </si>
  <si>
    <t>Ni1, Ni2, Ni3</t>
  </si>
  <si>
    <t>h1, h2, h3</t>
  </si>
  <si>
    <t>- младшего медицинского персонала</t>
  </si>
  <si>
    <t>- среднего медицинского персонала</t>
  </si>
  <si>
    <t>- врачебного персонала</t>
  </si>
  <si>
    <t>факт 2014</t>
  </si>
  <si>
    <t>Всего на 2018 год</t>
  </si>
  <si>
    <t>Всего на 2019 год</t>
  </si>
  <si>
    <t xml:space="preserve">Vнi                                        2018 год </t>
  </si>
  <si>
    <t xml:space="preserve">Vнi                                        2019 год </t>
  </si>
  <si>
    <t>Коэффициент, устанавливающий ежемесячные и иные дополнительные выплаты, установленные в соответствии с законодательством Российской Федерации, законодательством Магаданской области и нормативными правовыми актами органов местного самоуправления для муниципальных служащих, а также размер районного коэффициента и процентной надбавки к заработной плате работников организаций, расположенных на территории Магаданской области, (К)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</si>
  <si>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(К1)</t>
  </si>
  <si>
    <t>Расходы на оплату коммунальных услуг с учетом площади занимаемого учреждения, (V)</t>
  </si>
  <si>
    <t xml:space="preserve">Услуги на содержание имущества, (В)                  </t>
  </si>
  <si>
    <t>Оплата услуг связи, исходя из абоненской платы в месяц и дополнительных ежемесячных затрат на междугородние переговоры, (С)</t>
  </si>
  <si>
    <t>Объем средств на оплату прочих расходов, (М)</t>
  </si>
  <si>
    <t>Объем средств на приобретение материальных запасов, полученный расчетным путем с учетом количества специалистов, (Р)</t>
  </si>
  <si>
    <t>Расходы на предоставление работникам гарантий и компенсаций, установленных статьями 168 и 325 Трудового кодекса Российской Федерации, (G)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</si>
  <si>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 (далее - деятельность по опеке и попечительству совершеннолетних лиц), Vсi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</si>
  <si>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 над несовершеннолетними, Vнi</t>
  </si>
  <si>
    <t xml:space="preserve">Общий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попечительству, Voi </t>
  </si>
  <si>
    <t>2018 год</t>
  </si>
  <si>
    <t>2019 год</t>
  </si>
  <si>
    <t>Размер субвенции, предоставляемой бюджету i-го муниципального образования на 2018 год (Cpi)</t>
  </si>
  <si>
    <t>Размер субвенции, предоставляемой бюджету i-го муниципального образования на 2019 год (Cpi)</t>
  </si>
  <si>
    <t>Объем субвенции (Si), 2018 год</t>
  </si>
  <si>
    <t>Объем субвенции (Si), 2019 год</t>
  </si>
  <si>
    <t>Объем субсидии муниципальному образования на организацию отдыха детей в каникулярное время, тыс. рублей (S1) на 2017 год</t>
  </si>
  <si>
    <t>Объем субсидии из областного бюджета бюджетам муниципальных образований на частичное возмещение расходов по оплате труда педагогическим работникам лагерей с дневным пребыванием детей (S2) на 2017 год</t>
  </si>
  <si>
    <t>Итого годовой объём субвенции (тыс. рублей) на 2018 год</t>
  </si>
  <si>
    <t>ИТОГО</t>
  </si>
  <si>
    <t>Уровень софинансирования i-го муниципального образования (Qi)</t>
  </si>
  <si>
    <t>Субсидии из областного бюджета, предоставляемые бюджету муниципального образования (S), 2018 год</t>
  </si>
  <si>
    <t>Субсидии из областного бюджета, предоставляемые бюджету муниципального образования (S), 2019 год</t>
  </si>
  <si>
    <t>Примечание: в данной субсидии учитывается численность только тех обучающихся, которые охваченны горячим питанием.</t>
  </si>
  <si>
    <t>Количество учебных дней в году, дн. (d)</t>
  </si>
  <si>
    <t>Объем субсидии i-го муниципального образования на совершенствование питаия учащихся в общеобразовательных организациях в 2018 год, тыс. руб. (S)</t>
  </si>
  <si>
    <t>Объем субсидии i-го муниципального образования на совершенствование питаия учащихся в общеобразовательных организациях в 2019 год, тыс. руб. (S)</t>
  </si>
  <si>
    <t>субсидий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</si>
  <si>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Наименование городского округа</t>
  </si>
  <si>
    <t>Общий объем субсидий, предоставляемых бюджетам  муниципальных образований в текущем году  (Si)</t>
  </si>
  <si>
    <t>Объем средств, необходимый i-му муниципальному образованию по заявке (Q)</t>
  </si>
  <si>
    <t>Уровень софинансирования i-го муниципального образования (Qi)*</t>
  </si>
  <si>
    <t>Общий объем средств, необходимый муниципальным образованиям по заявке (О)</t>
  </si>
  <si>
    <t>Общий объем уровня софинансирования муниципальными образованиями (Оi)</t>
  </si>
  <si>
    <t>Общий объем субсидий в 2017 году</t>
  </si>
  <si>
    <t xml:space="preserve">Общий объем субсидий в 2018 году </t>
  </si>
  <si>
    <t>* - предварительный объем софинансирования</t>
  </si>
  <si>
    <t>субсидий бюджетам городских округов на питание (завтрак или полдник) детей из многодетных семей, обучающихся в общеобразовательных организациях, в рамках реализации подпрограммы «Развитие общего образования в Магаданской области» на 2014-2020 годы» государственной программы "Развитие образования в Магаданской области" на 1014-2020 годы"</t>
  </si>
  <si>
    <t>Объем субсидии из областного бюджета, предоставляемой бюджету  i-го муниципального образования  (S), 2018 год</t>
  </si>
  <si>
    <t>Объем субсидии из областного бюджета, предоставляемой бюджету  i-го муниципального образования  (S), 2019 год</t>
  </si>
  <si>
    <t xml:space="preserve">Объем субсидии муниципальному образования на организацию отдыха детей в каникулярное время, тыс. рублей (S1) </t>
  </si>
  <si>
    <t>Общий объем субвенции в 2019 году</t>
  </si>
  <si>
    <t>Муниципальные образования</t>
  </si>
  <si>
    <t>Численность граждан, имеющих право на получение мер социальной поддержки по оплате жилья и коммунальных услуг  (чел.) (Ч)</t>
  </si>
  <si>
    <t>Площадь жилья, занимаемая получателем  мер социальной поддержке по j-му муниципальному образованию Магаданской области (Hsr)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</si>
  <si>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 (Cj)</t>
  </si>
  <si>
    <t>Количество месяцев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</si>
  <si>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</si>
  <si>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2018 году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</si>
  <si>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2019 году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</si>
  <si>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2020 году</t>
  </si>
  <si>
    <t>Субсидии из областного бюджета, предоставляемые бюджету муниципального образования (S), 2020 год</t>
  </si>
  <si>
    <t>2020 год</t>
  </si>
  <si>
    <t>Объем субсидии i-го муниципального образования на совершенствование питаия учащихся в общеобразовательных организациях в 2020 год, тыс. руб. (S)</t>
  </si>
  <si>
    <t>Объем субсидии из областного бюджета, предоставляемой бюджету  i-го муниципального образования  (S), 2020 год</t>
  </si>
  <si>
    <t>Размер субвенции, предоставляемой бюджету i-го муниципального образования на 2020 год (Cpi)</t>
  </si>
  <si>
    <t>Количество воспитанников, чел.</t>
  </si>
  <si>
    <t>Норматив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одного воспитанника, тыс. рублей</t>
  </si>
  <si>
    <t>Размер субвенции, предоставляемой бюджету I-го муниципального образования на 2018 год</t>
  </si>
  <si>
    <t>Размер субвенции, предоставляемой бюджету I-го муниципального образования на 2019 год</t>
  </si>
  <si>
    <t>Размер субвенции, предоставляемой бюджету I-го муниципального образования на 2020 год</t>
  </si>
  <si>
    <t>дошкольная группа общеразвивающей и комбинированной направленносим</t>
  </si>
  <si>
    <t>дошкольная группа компенсирующей и оздоровительной направленносим</t>
  </si>
  <si>
    <t>Средняя величина в год</t>
  </si>
  <si>
    <t xml:space="preserve">Средняя величина в год </t>
  </si>
  <si>
    <t>Ольский городской округ,</t>
  </si>
  <si>
    <t>Сусуманский  городской округ</t>
  </si>
  <si>
    <t xml:space="preserve">Тенькинский городской округ, </t>
  </si>
  <si>
    <t>субвенций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</si>
  <si>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х</t>
  </si>
  <si>
    <t>Количество обучающихся, воспитанников, чел.</t>
  </si>
  <si>
    <t>общеобразовательная школа</t>
  </si>
  <si>
    <t>лицей, гимназия, школа с углубленным изучением отдельных предметов</t>
  </si>
  <si>
    <t>общеобразовательная школа с дистанционным обучением</t>
  </si>
  <si>
    <t>открытая (сменная) общеобразовательная школа</t>
  </si>
  <si>
    <t>начальная школа - детский сад</t>
  </si>
  <si>
    <t>Норматив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одного обучающегося, воспитанника</t>
  </si>
  <si>
    <t>общеобразовательная школа-интернат</t>
  </si>
  <si>
    <t>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</si>
  <si>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</si>
  <si>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Общий объем субвенции в 2020 году</t>
  </si>
  <si>
    <t>Объем субвенции (Si), 2020 год</t>
  </si>
  <si>
    <t>субвенций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</si>
  <si>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Всего на 2020 год</t>
  </si>
  <si>
    <r>
      <t>субвенций бюджетам городских округов 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 в рамк</t>
    </r>
    <r>
      <rPr>
        <u val="single"/>
        <sz val="15"/>
        <rFont val="Times New Roman"/>
        <family val="1"/>
      </rPr>
      <t>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  </r>
  </si>
  <si>
    <r>
      <t>(</t>
    </r>
    <r>
      <rPr>
        <u val="single"/>
        <sz val="15"/>
        <rFont val="Times New Roman"/>
        <family val="1"/>
      </rPr>
      <t>Министерство труда и социальной политики Магаданской области)</t>
    </r>
  </si>
  <si>
    <t>Сумма ежемесячных дополнительных выплат, установленных в соответствии с законодательством РФ и Магаданской области для муниципальных служащих (КОСГУ 211)</t>
  </si>
  <si>
    <t>Сумма страховых взносов в Пенсионный фонд РФ на обязательное пенсионное страхование, ФФ ОМС, ТРФ ОМС, ФСС, страховые взносы на обязательное социальное страхование о несчастных случаев на производстве и несчастных заболеваний; (КОСГУ 213)</t>
  </si>
  <si>
    <t>Итого годовой объём субвенции (тыс. рублей) на 2019 год</t>
  </si>
  <si>
    <t>Итого годовой объём субвенции (тыс. рублей) на 2020 год</t>
  </si>
  <si>
    <t>субвенций бюджетам городских округов на осуществление государственных полномочий по организации</t>
  </si>
  <si>
    <t>и осуществлению деятельности органов опеки и попечительства</t>
  </si>
  <si>
    <t xml:space="preserve">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
</t>
  </si>
  <si>
    <t>норма предоставления жилья, кв.м.</t>
  </si>
  <si>
    <t>расчетная норма жилья, кв.м.</t>
  </si>
  <si>
    <t>стоимость 1 кв.м., тыс. руб.</t>
  </si>
  <si>
    <t>администрирование 1 чел., тыс. руб.</t>
  </si>
  <si>
    <t>расходы на администрирование</t>
  </si>
  <si>
    <t>расходы на приобретение жилья</t>
  </si>
  <si>
    <t>численность детей-сирот, чел.</t>
  </si>
  <si>
    <t>Объем субвенции, 2018 год</t>
  </si>
  <si>
    <t>Объем субвенции, 2019 год</t>
  </si>
  <si>
    <t>Объем субвенции, 2020 год</t>
  </si>
  <si>
    <t>субвенций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</si>
  <si>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 xml:space="preserve">субсидий бюджетам городских округов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организациях, в рамках реализации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</si>
  <si>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</t>
  </si>
  <si>
    <t>2018-2020 годы</t>
  </si>
  <si>
    <t>Размер субвенции, выделяемой Магаданской области на осуществление полномочий по первичному воинскому учету на территориях, где отсутствуют военные комиссариаты, тыс. рублей, Vmo</t>
  </si>
  <si>
    <t>Общее кол-во ставок военно-учетных работников в органе местного самоуправления, ед., Nmo</t>
  </si>
  <si>
    <t>Кол-во ставок военно-учетных работников в органе местного самоуправления, ед., Ni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</si>
  <si>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2018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</si>
  <si>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2019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</si>
  <si>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2020 год тыс. рублей, Vi</t>
  </si>
  <si>
    <t>Среднеканский  городской  округ</t>
  </si>
  <si>
    <t>Количество граждан, состоящих на первичном воинском учете, чел.</t>
  </si>
  <si>
    <t>Норматив численности работников, осуществляющих полномочия по первичному воинскому учету, ед.</t>
  </si>
  <si>
    <t>(тыс.руб)</t>
  </si>
  <si>
    <t>Стоимость образовательных услуг (S1)</t>
  </si>
  <si>
    <t>Количество лиц,подлежащих обучению (S2)</t>
  </si>
  <si>
    <t>Объем субсидии (S)</t>
  </si>
  <si>
    <t>субсидий бюджетам городских окугов, предоставляемых в рамках подпрограммы "Развитие государственной гражданской службы и муниципальной службы в Магаданской области " на 2017-2021 годы"  государственной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</si>
  <si>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 xml:space="preserve"> субсидий бюджетам городских округов, предоставляемых в рамках подпрограммы "Формирование и подготовка резерва управленческих кадров Магаданской области" на 2017-2021 годы" 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</si>
  <si>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>Общий объем субсидий (С)</t>
  </si>
  <si>
    <t>Количество социально ориентированных некоммерческих организаций, включенных в реестр социально ориентированных некоммерческих организаций - получателей поддержки из средств областного бюджета в текущем году (К)</t>
  </si>
  <si>
    <t>Объем средств для предоставления субсидии (Смо)</t>
  </si>
  <si>
    <t>город Магадан</t>
  </si>
  <si>
    <t>субсидий бюджетам городских округов, предоставляемых в рамках подпрограммы "О поддержке социально ориентированных некоммерческих организаций в Магаданской области" на 2015-2020 годы"  государственной  программы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 " на 2015-2020 годы"</t>
  </si>
  <si>
    <t xml:space="preserve"> субсидий бюджетам городских округов, предоставляемых в рамках подпрограммы 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государственной  программы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 " на 2015-2020 годы"</t>
  </si>
  <si>
    <t>Количество соц. ориентированных некоммерческих организаций, включенных в реестр соц. ориентированных некоммерческих организаций - получателей поддержки из средств областного бюджета в текущем году (К)</t>
  </si>
  <si>
    <t>Расчет субвенций бюджетам городских округов 
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</t>
  </si>
  <si>
    <t>(тыс. рублей)</t>
  </si>
  <si>
    <t>Всего по городским округам</t>
  </si>
  <si>
    <t xml:space="preserve">Омсукчанский городской округ </t>
  </si>
  <si>
    <t xml:space="preserve">Сусуманский городской округ </t>
  </si>
  <si>
    <t xml:space="preserve">Тенькинский городской округ </t>
  </si>
  <si>
    <t xml:space="preserve">Хасынский городской округ </t>
  </si>
  <si>
    <t>Пимечание</t>
  </si>
  <si>
    <t>Количество ставок специалистов административной комиссии ( R )</t>
  </si>
  <si>
    <t>Должностной оклад, предусмотренный законодательством и соответствующий ставке ведущего специалиста (N)</t>
  </si>
  <si>
    <t>Коэффициент, учитывающий выплаты ежемесячных надбавок, надбавок за выслугу лет, классный чин и премию муниципальных служащих, предусмотренный действующим законодательством (K1)</t>
  </si>
  <si>
    <t>Коэффициент, учитывающий размер районного коэффициента и процентной надбавки к заработной плате за работу в районах Крайнего Севера (К2)</t>
  </si>
  <si>
    <t>Страховые взносы в Пенсионный фонд Российской Федерации, Фонд социального страхования Российской Федерации, Федеральный фонд обязательного медицинского страхования, предусмотренные действующим законодательством (L)</t>
  </si>
  <si>
    <t>Расходы на оплату коммунальных услуг с учетом площади занимаемого учреждения (V), тыс. рублей</t>
  </si>
  <si>
    <t>Расходы  на содержание имущества (В), тыс. рублей</t>
  </si>
  <si>
    <t>Оплата услуг связи, исходя из абоненской платы в месяц и дополнительных ежемесячных затрат на междугородние переговоры (С), тыс. рублей</t>
  </si>
  <si>
    <t>Объем средств на оплату прочих расходов (М), тыс. рублей</t>
  </si>
  <si>
    <t>Объем средств на приобретение материальных запасов, полученный расчетным путем с учетом количества специалистов (Р), тыс. рублей</t>
  </si>
  <si>
    <t>Расходы на предоставление работникам гарантий и компенсаций, установленных статьями 168 и 325 Трудового кодекса Российской Федерации  (G),  тыс.  рублей</t>
  </si>
  <si>
    <t>Объем субвенции городскому округу 2018 год</t>
  </si>
  <si>
    <t>Объем субвенции городскому округу 2019 год</t>
  </si>
  <si>
    <t>Объем субвенции городскому округу 2020 год</t>
  </si>
  <si>
    <t xml:space="preserve"> субсидий бюджетам городских округов на проведение кадастровых работ в отношении земельных участков, планируемых к выделению гражданам, имеющим трех и более детей в рамках реализации подпрограммы «Обеспечение мер социальной поддержки отдельных категорий граждан» на 2016-2020 годы» государственной программы Магаданской области «Развитие социальной защиты населения Магаданской области» на 2014-2020 годы»</t>
  </si>
  <si>
    <t>Наименование гордского округа</t>
  </si>
  <si>
    <t xml:space="preserve">Количество граждан, имеющих трех и более детей, изъявивших желание на получение земельного участка в собственность бесплатно на территории муниципального образования </t>
  </si>
  <si>
    <t>Общее количество граждан, состоящих на учете в реестре граждан, состоящих на учете для предоставления земельного участка в собственность бесплатно</t>
  </si>
  <si>
    <t>Общий объем денежных средств, предусмотренных в областном бюджете на очередной финансовый год на предоставление субсидий на проведение кадастровых работ в отношении земельных участков, планируемых к выделению гражданам, имеющим трех и более детей</t>
  </si>
  <si>
    <t>Размер субсидии, 2018 год (тыс. рублей)</t>
  </si>
  <si>
    <t>Размер субсидии, 2019 год (тыс. рублей)</t>
  </si>
  <si>
    <t>Размер субсидии, 2020 год (тыс. рублей)</t>
  </si>
  <si>
    <t>А-Количество зарегистрированных актов гражданского состояния за 2016 год</t>
  </si>
  <si>
    <t xml:space="preserve">Ю-кол-во иных юр. значимых действий, соверш. органами, уполномоч произв гос. регист. актов граж. состояния за 2016 год </t>
  </si>
  <si>
    <t>Сi                     Размер субвенций на 2019 г.       (тыс.руб)</t>
  </si>
  <si>
    <t>Северо Эвенский городской округ</t>
  </si>
  <si>
    <r>
      <t>К</t>
    </r>
    <r>
      <rPr>
        <vertAlign val="subscript"/>
        <sz val="12"/>
        <color indexed="8"/>
        <rFont val="Times New Roman"/>
        <family val="1"/>
      </rPr>
      <t>i   средний  коэффициент  сложности   регистрированных  действий</t>
    </r>
  </si>
  <si>
    <r>
      <t>К</t>
    </r>
    <r>
      <rPr>
        <vertAlign val="subscript"/>
        <sz val="12"/>
        <color indexed="8"/>
        <rFont val="Times New Roman"/>
        <family val="1"/>
      </rPr>
      <t xml:space="preserve">ia </t>
    </r>
  </si>
  <si>
    <r>
      <t>К</t>
    </r>
    <r>
      <rPr>
        <vertAlign val="subscript"/>
        <sz val="12"/>
        <color indexed="8"/>
        <rFont val="Times New Roman"/>
        <family val="1"/>
      </rPr>
      <t>iю</t>
    </r>
  </si>
  <si>
    <r>
      <t>А</t>
    </r>
    <r>
      <rPr>
        <vertAlign val="subscript"/>
        <sz val="12"/>
        <color indexed="8"/>
        <rFont val="Times New Roman"/>
        <family val="1"/>
      </rPr>
      <t>р</t>
    </r>
  </si>
  <si>
    <r>
      <t>А</t>
    </r>
    <r>
      <rPr>
        <vertAlign val="subscript"/>
        <sz val="12"/>
        <color indexed="8"/>
        <rFont val="Times New Roman"/>
        <family val="1"/>
      </rPr>
      <t>б</t>
    </r>
  </si>
  <si>
    <r>
      <t>А</t>
    </r>
    <r>
      <rPr>
        <vertAlign val="subscript"/>
        <sz val="12"/>
        <color indexed="8"/>
        <rFont val="Times New Roman"/>
        <family val="1"/>
      </rPr>
      <t>рб</t>
    </r>
  </si>
  <si>
    <r>
      <t>А</t>
    </r>
    <r>
      <rPr>
        <vertAlign val="subscript"/>
        <sz val="12"/>
        <color indexed="8"/>
        <rFont val="Times New Roman"/>
        <family val="1"/>
      </rPr>
      <t>у</t>
    </r>
  </si>
  <si>
    <r>
      <t>А</t>
    </r>
    <r>
      <rPr>
        <vertAlign val="subscript"/>
        <sz val="12"/>
        <color indexed="8"/>
        <rFont val="Times New Roman"/>
        <family val="1"/>
      </rPr>
      <t>уо</t>
    </r>
  </si>
  <si>
    <r>
      <t>А</t>
    </r>
    <r>
      <rPr>
        <vertAlign val="subscript"/>
        <sz val="12"/>
        <color indexed="8"/>
        <rFont val="Times New Roman"/>
        <family val="1"/>
      </rPr>
      <t>пи</t>
    </r>
  </si>
  <si>
    <r>
      <t>А</t>
    </r>
    <r>
      <rPr>
        <vertAlign val="subscript"/>
        <sz val="12"/>
        <color indexed="8"/>
        <rFont val="Times New Roman"/>
        <family val="1"/>
      </rPr>
      <t xml:space="preserve">с </t>
    </r>
  </si>
  <si>
    <r>
      <t>Ю</t>
    </r>
    <r>
      <rPr>
        <vertAlign val="subscript"/>
        <sz val="12"/>
        <color indexed="8"/>
        <rFont val="Times New Roman"/>
        <family val="1"/>
      </rPr>
      <t xml:space="preserve">рзпр </t>
    </r>
  </si>
  <si>
    <r>
      <t>Ю</t>
    </r>
    <r>
      <rPr>
        <vertAlign val="subscript"/>
        <sz val="12"/>
        <color indexed="8"/>
        <rFont val="Times New Roman"/>
        <family val="1"/>
      </rPr>
      <t>визм</t>
    </r>
    <r>
      <rPr>
        <sz val="12"/>
        <color indexed="8"/>
        <rFont val="Times New Roman"/>
        <family val="1"/>
      </rPr>
      <t xml:space="preserve"> </t>
    </r>
  </si>
  <si>
    <r>
      <t>Ю</t>
    </r>
    <r>
      <rPr>
        <vertAlign val="subscript"/>
        <sz val="12"/>
        <color indexed="8"/>
        <rFont val="Times New Roman"/>
        <family val="1"/>
      </rPr>
      <t>ан</t>
    </r>
  </si>
  <si>
    <r>
      <t>Ю</t>
    </r>
    <r>
      <rPr>
        <vertAlign val="subscript"/>
        <sz val="12"/>
        <color indexed="8"/>
        <rFont val="Times New Roman"/>
        <family val="1"/>
      </rPr>
      <t>повт</t>
    </r>
  </si>
  <si>
    <r>
      <t>Ю</t>
    </r>
    <r>
      <rPr>
        <vertAlign val="subscript"/>
        <sz val="12"/>
        <color indexed="8"/>
        <rFont val="Times New Roman"/>
        <family val="1"/>
      </rPr>
      <t>спр</t>
    </r>
  </si>
  <si>
    <r>
      <t>Ю</t>
    </r>
    <r>
      <rPr>
        <vertAlign val="subscript"/>
        <sz val="12"/>
        <color indexed="8"/>
        <rFont val="Times New Roman"/>
        <family val="1"/>
      </rPr>
      <t>истр</t>
    </r>
  </si>
  <si>
    <r>
      <t>Ю</t>
    </r>
    <r>
      <rPr>
        <vertAlign val="subscript"/>
        <sz val="12"/>
        <color indexed="8"/>
        <rFont val="Times New Roman"/>
        <family val="1"/>
      </rPr>
      <t>дрб</t>
    </r>
  </si>
  <si>
    <r>
      <t>Ю</t>
    </r>
    <r>
      <rPr>
        <vertAlign val="subscript"/>
        <sz val="12"/>
        <color indexed="8"/>
        <rFont val="Times New Roman"/>
        <family val="1"/>
      </rPr>
      <t>ап</t>
    </r>
  </si>
  <si>
    <r>
      <t>Ю</t>
    </r>
    <r>
      <rPr>
        <vertAlign val="subscript"/>
        <sz val="12"/>
        <color indexed="8"/>
        <rFont val="Times New Roman"/>
        <family val="1"/>
      </rPr>
      <t>отк</t>
    </r>
  </si>
  <si>
    <r>
      <t>Ю</t>
    </r>
    <r>
      <rPr>
        <vertAlign val="subscript"/>
        <sz val="12"/>
        <color indexed="8"/>
        <rFont val="Times New Roman"/>
        <family val="1"/>
      </rPr>
      <t>отм</t>
    </r>
  </si>
  <si>
    <r>
      <t>К</t>
    </r>
    <r>
      <rPr>
        <vertAlign val="subscript"/>
        <sz val="12"/>
        <color indexed="8"/>
        <rFont val="Times New Roman"/>
        <family val="1"/>
      </rPr>
      <t>р</t>
    </r>
  </si>
  <si>
    <r>
      <t>К</t>
    </r>
    <r>
      <rPr>
        <vertAlign val="subscript"/>
        <sz val="12"/>
        <color indexed="8"/>
        <rFont val="Times New Roman"/>
        <family val="1"/>
      </rPr>
      <t>б</t>
    </r>
  </si>
  <si>
    <r>
      <t>К</t>
    </r>
    <r>
      <rPr>
        <vertAlign val="subscript"/>
        <sz val="12"/>
        <color indexed="8"/>
        <rFont val="Times New Roman"/>
        <family val="1"/>
      </rPr>
      <t>рб</t>
    </r>
  </si>
  <si>
    <r>
      <t>К</t>
    </r>
    <r>
      <rPr>
        <vertAlign val="subscript"/>
        <sz val="12"/>
        <color indexed="8"/>
        <rFont val="Times New Roman"/>
        <family val="1"/>
      </rPr>
      <t>у</t>
    </r>
  </si>
  <si>
    <r>
      <t>К</t>
    </r>
    <r>
      <rPr>
        <vertAlign val="subscript"/>
        <sz val="12"/>
        <color indexed="8"/>
        <rFont val="Times New Roman"/>
        <family val="1"/>
      </rPr>
      <t>уо</t>
    </r>
  </si>
  <si>
    <r>
      <t>К</t>
    </r>
    <r>
      <rPr>
        <vertAlign val="subscript"/>
        <sz val="12"/>
        <color indexed="8"/>
        <rFont val="Times New Roman"/>
        <family val="1"/>
      </rPr>
      <t>пи</t>
    </r>
    <r>
      <rPr>
        <sz val="12"/>
        <color indexed="8"/>
        <rFont val="Times New Roman"/>
        <family val="1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</si>
  <si>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</rPr>
      <t>с</t>
    </r>
  </si>
  <si>
    <r>
      <t>К</t>
    </r>
    <r>
      <rPr>
        <vertAlign val="subscript"/>
        <sz val="12"/>
        <color indexed="8"/>
        <rFont val="Times New Roman"/>
        <family val="1"/>
      </rPr>
      <t>рзпр</t>
    </r>
  </si>
  <si>
    <r>
      <t>К</t>
    </r>
    <r>
      <rPr>
        <vertAlign val="subscript"/>
        <sz val="12"/>
        <color indexed="8"/>
        <rFont val="Times New Roman"/>
        <family val="1"/>
      </rPr>
      <t xml:space="preserve">визм </t>
    </r>
  </si>
  <si>
    <r>
      <t>К</t>
    </r>
    <r>
      <rPr>
        <vertAlign val="subscript"/>
        <sz val="12"/>
        <color indexed="8"/>
        <rFont val="Times New Roman"/>
        <family val="1"/>
      </rPr>
      <t>ан</t>
    </r>
  </si>
  <si>
    <r>
      <t>К</t>
    </r>
    <r>
      <rPr>
        <vertAlign val="subscript"/>
        <sz val="12"/>
        <color indexed="8"/>
        <rFont val="Times New Roman"/>
        <family val="1"/>
      </rPr>
      <t>повт</t>
    </r>
  </si>
  <si>
    <r>
      <t>К</t>
    </r>
    <r>
      <rPr>
        <vertAlign val="subscript"/>
        <sz val="12"/>
        <color indexed="8"/>
        <rFont val="Times New Roman"/>
        <family val="1"/>
      </rPr>
      <t>спр</t>
    </r>
  </si>
  <si>
    <r>
      <t>К</t>
    </r>
    <r>
      <rPr>
        <vertAlign val="subscript"/>
        <sz val="12"/>
        <color indexed="8"/>
        <rFont val="Times New Roman"/>
        <family val="1"/>
      </rPr>
      <t>истр</t>
    </r>
  </si>
  <si>
    <r>
      <t>К</t>
    </r>
    <r>
      <rPr>
        <vertAlign val="subscript"/>
        <sz val="12"/>
        <color indexed="8"/>
        <rFont val="Times New Roman"/>
        <family val="1"/>
      </rPr>
      <t>дрб</t>
    </r>
    <r>
      <rPr>
        <sz val="12"/>
        <color indexed="8"/>
        <rFont val="Times New Roman"/>
        <family val="1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</si>
  <si>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</rPr>
      <t>ап</t>
    </r>
  </si>
  <si>
    <r>
      <t>К</t>
    </r>
    <r>
      <rPr>
        <vertAlign val="subscript"/>
        <sz val="12"/>
        <color indexed="8"/>
        <rFont val="Times New Roman"/>
        <family val="1"/>
      </rPr>
      <t>ОТК</t>
    </r>
  </si>
  <si>
    <r>
      <t>К</t>
    </r>
    <r>
      <rPr>
        <vertAlign val="subscript"/>
        <sz val="12"/>
        <color indexed="8"/>
        <rFont val="Times New Roman"/>
        <family val="1"/>
      </rPr>
      <t>отм</t>
    </r>
    <r>
      <rPr>
        <sz val="12"/>
        <color indexed="8"/>
        <rFont val="Times New Roman"/>
        <family val="1"/>
      </rPr>
      <t xml:space="preserve"> </t>
    </r>
  </si>
  <si>
    <r>
      <t>Ai</t>
    </r>
    <r>
      <rPr>
        <sz val="12"/>
        <color indexed="8"/>
        <rFont val="Times New Roman"/>
        <family val="1"/>
      </rPr>
      <t xml:space="preserve">                        Общее  количество  регистрированных   актов  гражданского  состояния  и  юридически   значимых  действий</t>
    </r>
  </si>
  <si>
    <r>
      <t xml:space="preserve">Ki                         </t>
    </r>
    <r>
      <rPr>
        <sz val="12"/>
        <color indexed="8"/>
        <rFont val="Times New Roman"/>
        <family val="1"/>
      </rPr>
      <t>средний коэффициент сложности актов  гражданского  состояния  и  юридически   значимых  действий</t>
    </r>
  </si>
  <si>
    <r>
      <t xml:space="preserve">Hi   </t>
    </r>
    <r>
      <rPr>
        <sz val="12"/>
        <color indexed="8"/>
        <rFont val="Times New Roman"/>
        <family val="1"/>
      </rPr>
      <t xml:space="preserve">                  средний норматив финансовых затрат               (руб.)</t>
    </r>
  </si>
  <si>
    <t>Сi                     Размер субвенций на 2018 г.       (тыс.руб)</t>
  </si>
  <si>
    <t>Сi                     Размер субвенций на 2020 г.       (тыс.руб)</t>
  </si>
  <si>
    <t>Наименование городских округов</t>
  </si>
  <si>
    <t>субвенций бюджетам городских округов  на осуществление полномочий по государственной регистрации актов гражданского состояния</t>
  </si>
  <si>
    <t xml:space="preserve">субсидий бюджетам городских округов на организацию отдыха и оздоровление детей в лагерях дневного пребывания </t>
  </si>
  <si>
    <t>кол-во работников</t>
  </si>
  <si>
    <t>Всего в месяц (8=ст6+ст7)</t>
  </si>
  <si>
    <t>ИТОГО за 2018 год, тыс. рублей</t>
  </si>
  <si>
    <t xml:space="preserve"> субвенций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2014-2020 годы» </t>
  </si>
  <si>
    <t>Оклад, руб.</t>
  </si>
  <si>
    <t>Сумма надбавки в месяц с учетом РК и СН (6=ст.5*20%*2,5), руб.</t>
  </si>
  <si>
    <t>Сумма налогов в месяц (7=ст.6*30,2%), руб.</t>
  </si>
  <si>
    <t>субсидий бюджетам городских округов на укрепление и развитие спортивной материально-технической базы зимних видов спорта в рамках реализации подпрограммы «Развитие спорта высших достижений и подготовка спортивного резерва в Магаданской области на 2017 - 2020 годы» государственной программы  Магаданской области «Развитие физической культуры и спорта в Магаданской области» на 2014-2020 годы»</t>
  </si>
  <si>
    <t>сметная стоимость мероприятия в ценах текущего года</t>
  </si>
  <si>
    <t>средства для выполнения мероприятий по укреплению и развитию спортивной материально-технической базы зимних видов спорта, предусмотренные в бюджете муниципального образования</t>
  </si>
  <si>
    <t xml:space="preserve"> 2018 год</t>
  </si>
  <si>
    <t xml:space="preserve"> 2019 год</t>
  </si>
  <si>
    <t xml:space="preserve"> 2020 год</t>
  </si>
  <si>
    <t>Всего по городской округам</t>
  </si>
  <si>
    <t>Кол-во специалистов</t>
  </si>
  <si>
    <t>в т. ч.</t>
  </si>
  <si>
    <t>гл. специалист  (кол-во ставок) (с января по декабрь)</t>
  </si>
  <si>
    <t>ежемесяч. надбавка  за особые усл. до (до 0,6 окл./мес)</t>
  </si>
  <si>
    <t>надбавка за выслугу (0,3 окл./мес)</t>
  </si>
  <si>
    <t>квалификационный разряд (чин) (1 класс старших должностей)</t>
  </si>
  <si>
    <t xml:space="preserve">Всего </t>
  </si>
  <si>
    <t>премия (0,25 окл./мес)</t>
  </si>
  <si>
    <t>единовременная выплата и материальная помощь при предоставлении ежегодного оплачиваемого отпуска (2окл.+ 1 окл в год)</t>
  </si>
  <si>
    <t>городской округный коэф (70%)</t>
  </si>
  <si>
    <t>северная надбавка (80%)</t>
  </si>
  <si>
    <t xml:space="preserve">Начисления на ФОТ 30,2 % </t>
  </si>
  <si>
    <t xml:space="preserve">Итого денежное содержание главных спец.  </t>
  </si>
  <si>
    <t>вед. специалист (кол-во ставок) (с января по декабрь)</t>
  </si>
  <si>
    <t>оклад*</t>
  </si>
  <si>
    <t>ежемесяч. надбавка  за особые усл. до (0,6 окл./мес)</t>
  </si>
  <si>
    <t>ежемесячное денеж поощрение (2 окл./мес)</t>
  </si>
  <si>
    <t>единовременная выплата и материальная помощь при предоставлении ежегодного оплачиваемого отпуска (2окл.+ 1 окл. в год)</t>
  </si>
  <si>
    <t xml:space="preserve">Итого денежное содержание ведедущих спец.  </t>
  </si>
  <si>
    <t>Почтовые расходы (тыс.руб)</t>
  </si>
  <si>
    <t>Оплата телефонной связи за год (тыс. руб.)</t>
  </si>
  <si>
    <t>Оплата электронной связи за год  (тыс.руб)</t>
  </si>
  <si>
    <t>Прочие расходные материалы и предметы снабжения в год (тыс.руб)</t>
  </si>
  <si>
    <t>кол-во семей состоящих на учете на 01.01.2015</t>
  </si>
  <si>
    <t>Командировки и служебные разъезды (тыс.руб)</t>
  </si>
  <si>
    <t>2 командировки в год по 4 дня</t>
  </si>
  <si>
    <t>стоимость билетов (руб.)</t>
  </si>
  <si>
    <t>Расходы по оплате стоимости проезда и провоза багажа к месту использования отпуска и обратно</t>
  </si>
  <si>
    <t>Расходы по оплате коммунальных услуг с учетом площади, занимаемого помещения</t>
  </si>
  <si>
    <t>Расходы на оплату услуг по содержанию имущества</t>
  </si>
  <si>
    <t>ИТОГО  на  2018  год</t>
  </si>
  <si>
    <t>ИТОГО  на  2019  год</t>
  </si>
  <si>
    <t>Кол-во состоящих на учете (человек) на 01.01.2017</t>
  </si>
  <si>
    <t>Заработная плата всех специалистов за год</t>
  </si>
  <si>
    <t>оклад (в мес)</t>
  </si>
  <si>
    <t>гор. Магадан</t>
  </si>
  <si>
    <t>ИТОГО  на  2020  год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</si>
  <si>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области" на  2014-2020 годы"  государственной программы Магаданской области "Развитие культуры и туризма Магаданской области" на 2014-2020 годы"</t>
  </si>
  <si>
    <t>тыс.рублей</t>
  </si>
  <si>
    <t>Численность граждан, имеющих право на получение мер социальной поддержки по оплате жилья и коммунальных услуг  (чел.)</t>
  </si>
  <si>
    <t>Средняя площадь на 1-го человека (кв.м.)</t>
  </si>
  <si>
    <t>Площадь жилья, занимаемая получателеми  мер социальной поддержке по муниципальному образованию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</si>
  <si>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</t>
  </si>
  <si>
    <t>Общий объем иных  межбюджетных трансфертов</t>
  </si>
  <si>
    <t>тыс.руб.</t>
  </si>
  <si>
    <t>Наименование муниципальных образований</t>
  </si>
  <si>
    <t>число читателей  на 01.01.17 г.</t>
  </si>
  <si>
    <t>2018 год                     (тыс. рублей)</t>
  </si>
  <si>
    <t>2019 год                     (тыс. рублей)</t>
  </si>
  <si>
    <t>2020 год                     (тыс. рублей)</t>
  </si>
  <si>
    <t>субсидий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 Магаданской области" на 2014-2020 годы"</t>
  </si>
  <si>
    <t>субсидий бюджетам городских округов, предоставляемых в рамках подпрограммы  "Дополнительное профессиональное образование лиц,замещающих муниципальные должности в Магаданской области" на 2017-2021 годы"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</si>
  <si>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 xml:space="preserve"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 </t>
  </si>
  <si>
    <t xml:space="preserve">Vнi                                        2020 год 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</si>
  <si>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2018 год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</si>
  <si>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2019 год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</si>
  <si>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2020 год</t>
  </si>
  <si>
    <t>Нераспределенный остаток</t>
  </si>
  <si>
    <t>количество, проводимых универсальных совместных ярмарок,(шт.)</t>
  </si>
  <si>
    <t>количество автомашин, участвующих в универсальной совместной ярмарке, (ед.)</t>
  </si>
  <si>
    <t>норматив размера платы за оказание транспортных услуг, тыс. руб. за 1 машину</t>
  </si>
  <si>
    <t>размер платы за оказание транспортных услуг, тыс. руб.</t>
  </si>
  <si>
    <t>количество продавцов, участвующих в универсальной совместной ярмарке, (чел.)</t>
  </si>
  <si>
    <t>норматив размера платы за оказание услуг по реализации товара на 1 чел. за 1 ярмарку, тыс. руб.</t>
  </si>
  <si>
    <t>размер платы за оказание услуг по реализации товара , тыс. руб.</t>
  </si>
  <si>
    <t>количество рабочих, участвующих в универсальной совместной ярмарке, (чел.)</t>
  </si>
  <si>
    <t>размер платы за оказание услуг по погрузке-выгрузке товара, тыс. руб.</t>
  </si>
  <si>
    <t xml:space="preserve">количество участников ярмарочных мероприятий в универсальной совместной ярмарке,  пользующихся гостиничными услугами (чел.) </t>
  </si>
  <si>
    <t>норматив размера платы за предоставление услуг по проживанию в жилых помещениях на 1 чел. за 1 ярмарку, тыс. руб. в сутки</t>
  </si>
  <si>
    <t>размер платы за предоставление услуг по проживанию в жилых помещениях, тыс. руб.</t>
  </si>
  <si>
    <t>размер оплаты организации и проведения ярмарок в МО за 4 кв. 2017 года, тыс. руб.</t>
  </si>
  <si>
    <t>итого размер оплаты организации и проведения ярмарок в МО в 2018 году с учетом оплаты за 4 кв. 2017 г. , тыс. руб</t>
  </si>
  <si>
    <t>количество арендуемых площадей (торговых мест), подлежащих оплате, кв. м. (ед.)</t>
  </si>
  <si>
    <t xml:space="preserve">норматив размера оплаты аренды торговых площадей и торгового оборудования, связанных с организацией и проведением ярмарки,  руб.за 1 кв.м </t>
  </si>
  <si>
    <t>размер оплаты аренды торговых площадей и торгового оборудования, связанных с организацией и проведением ярмарки, тыс. руб.</t>
  </si>
  <si>
    <t>размер оплаты аренды торговых площадей и торгового оборудования, связанных с организацией и проведением ярмарок в 4 кв.2017 г., тыс. руб</t>
  </si>
  <si>
    <t>итого оплата аренды торговых площадей и торгового оборудования, связанных с организацией и проведением ярмарки в 2018 г.с учетом оплаты за 4 кв. 2017 г.,                    тыс. руб.</t>
  </si>
  <si>
    <t>Среднеканский ГО</t>
  </si>
  <si>
    <t>-</t>
  </si>
  <si>
    <t>Сусуманский ГО</t>
  </si>
  <si>
    <t>Тенькинский ГО</t>
  </si>
  <si>
    <t>Омсукчанский ГО</t>
  </si>
  <si>
    <t>Ягоднинский ГО</t>
  </si>
  <si>
    <t>п. Оротукан</t>
  </si>
  <si>
    <t>п. Синегорье</t>
  </si>
  <si>
    <t>п. Ягодное</t>
  </si>
  <si>
    <t>Хасынский ГО</t>
  </si>
  <si>
    <t>Северо-Эвенский ГО</t>
  </si>
  <si>
    <t>Ольский ГО</t>
  </si>
  <si>
    <t>Итого г. Магадан</t>
  </si>
  <si>
    <t>Субвенции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</si>
  <si>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субсидий бюджетам городских округов на приобретение школьных автобусов в рамках реализации подпрограммы "Развитие общего образования в Магаданской области" на 2014-2020 годы" государственной программы "Развитие образования в Магаданской области" на 1014-2020 годы"</t>
  </si>
  <si>
    <t>Расчет субсидий бюджетам муниципальных образований на адресную финансовую поддержку спортивных организаций, осуществляющих подготовку спортивного резерва для сборных команд Российской Федерации в рамках реализации подпрограммы  «Развитие спорта высших достижений и подготовка спортивного резерва в Магаданской области на 2017 - 2020 годы» государсвтенной программы  Магаданской области «Развитие физической культуры и спорта в Магаданской области» на 2014-2020 годы» на 2018 год и плановый период 2019 и 2020 годов</t>
  </si>
  <si>
    <t>средства для выполнения мероприятий по развитию системы подготовки спортивного резерв и аналогичных мероприятий, предусмотренных в бюджете муниципального образования</t>
  </si>
  <si>
    <t>МО "Город Магадан"</t>
  </si>
  <si>
    <t>Расчет субсидии определяется по формуле:</t>
  </si>
  <si>
    <t>,</t>
  </si>
  <si>
    <t>где,</t>
  </si>
  <si>
    <t xml:space="preserve"> – расчетный объем субсидии, предоставляемой из областного бюджета бюджету i-го муниципального образования;</t>
  </si>
  <si>
    <t xml:space="preserve"> – сметная стоимость мероприятия в ценах текущего года;</t>
  </si>
  <si>
    <t xml:space="preserve"> – средства для выполнения мероприятий по развитию системы подготовки спортивного резерв и аналогичных мероприятий, предусмотренных в бюджете муниципального образования.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</si>
</sst>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%"/>
    <numFmt numFmtId="178" formatCode="0.0000000"/>
    <numFmt numFmtId="179" formatCode="_-* #,##0.0_р_._-;\-* #,##0.0_р_._-;_-* &quot;-&quot;_р_._-;_-@_-"/>
    <numFmt numFmtId="180" formatCode="#,##0.0"/>
    <numFmt numFmtId="181" formatCode="#,##0.000"/>
    <numFmt numFmtId="182" formatCode="_-* #,##0.0_р_._-;\-* #,##0.0_р_._-;_-* &quot;-&quot;?_р_._-;_-@_-"/>
    <numFmt numFmtId="183" formatCode="_-* #,##0_р_._-;\-* #,##0_р_._-;_-* &quot;-&quot;??_р_._-;_-@_-"/>
    <numFmt numFmtId="184" formatCode="_-* #,##0.0_р_._-;\-* #,##0.0_р_._-;_-* &quot;-&quot;??_р_._-;_-@_-"/>
    <numFmt numFmtId="185" formatCode="#,##0.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_р_._-;\-* #,##0.000_р_._-;_-* &quot;-&quot;??_р_._-;_-@_-"/>
    <numFmt numFmtId="191" formatCode="#,##0.0000"/>
    <numFmt numFmtId="192" formatCode="#,##0.0_ ;\-#,##0.0\ "/>
    <numFmt numFmtId="193" formatCode="0.00000000"/>
    <numFmt numFmtId="194" formatCode="0.0000000000"/>
    <numFmt numFmtId="195" formatCode="0.000000000"/>
    <numFmt numFmtId="196" formatCode="#,##0.00_ ;\-#,##0.00\ "/>
    <numFmt numFmtId="197" formatCode="#,##0_ ;\-#,##0\ "/>
    <numFmt numFmtId="198" formatCode="[$-FC19]d\ mmmm\ yyyy\ &quot;г.&quot;"/>
    <numFmt numFmtId="199" formatCode="_-* #,##0.00\ _р_._-;\-* #,##0.00\ _р_._-;_-* &quot;-&quot;??\ _р_._-;_-@_-"/>
    <numFmt numFmtId="200" formatCode="_-* #,##0.000\ _₽_-;\-* #,##0.000\ _₽_-;_-* &quot;-&quot;??\ _₽_-;_-@_-"/>
    <numFmt numFmtId="201" formatCode="#,##0.0000_ ;\-#,##0.0000\ "/>
    <numFmt numFmtId="202" formatCode="#,##0.00000"/>
  </numFmts>
  <fonts count="8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5"/>
      <name val="Times New Roman"/>
      <family val="1"/>
    </font>
    <font>
      <u val="single"/>
      <sz val="15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4" fontId="9" fillId="0" borderId="10" xfId="54" applyNumberFormat="1" applyFont="1" applyFill="1" applyBorder="1">
      <alignment/>
      <protection/>
    </xf>
    <xf numFmtId="3" fontId="9" fillId="0" borderId="10" xfId="54" applyNumberFormat="1" applyFont="1" applyFill="1" applyBorder="1" applyAlignment="1">
      <alignment horizontal="center"/>
      <protection/>
    </xf>
    <xf numFmtId="180" fontId="9" fillId="0" borderId="10" xfId="54" applyNumberFormat="1" applyFont="1" applyFill="1" applyBorder="1">
      <alignment/>
      <protection/>
    </xf>
    <xf numFmtId="185" fontId="9" fillId="0" borderId="10" xfId="54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2" fontId="69" fillId="0" borderId="0" xfId="0" applyNumberFormat="1" applyFont="1" applyAlignment="1">
      <alignment horizontal="center" vertical="top" wrapText="1"/>
    </xf>
    <xf numFmtId="0" fontId="1" fillId="0" borderId="0" xfId="54" applyFont="1" applyAlignment="1">
      <alignment vertical="center"/>
      <protection/>
    </xf>
    <xf numFmtId="0" fontId="6" fillId="0" borderId="0" xfId="0" applyFont="1" applyAlignment="1">
      <alignment/>
    </xf>
    <xf numFmtId="180" fontId="70" fillId="0" borderId="0" xfId="0" applyNumberFormat="1" applyFont="1" applyFill="1" applyBorder="1" applyAlignment="1">
      <alignment/>
    </xf>
    <xf numFmtId="180" fontId="70" fillId="0" borderId="0" xfId="0" applyNumberFormat="1" applyFont="1" applyFill="1" applyBorder="1" applyAlignment="1">
      <alignment horizontal="center"/>
    </xf>
    <xf numFmtId="196" fontId="1" fillId="0" borderId="10" xfId="67" applyNumberFormat="1" applyFont="1" applyFill="1" applyBorder="1" applyAlignment="1">
      <alignment horizontal="right"/>
    </xf>
    <xf numFmtId="4" fontId="1" fillId="0" borderId="10" xfId="55" applyNumberFormat="1" applyFont="1" applyFill="1" applyBorder="1" applyAlignment="1">
      <alignment horizontal="left" wrapText="1"/>
      <protection/>
    </xf>
    <xf numFmtId="3" fontId="1" fillId="0" borderId="0" xfId="54" applyNumberFormat="1" applyFont="1" applyFill="1" applyBorder="1" applyAlignment="1">
      <alignment horizontal="center" vertical="center" wrapText="1"/>
      <protection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180" fontId="14" fillId="0" borderId="0" xfId="0" applyNumberFormat="1" applyFont="1" applyFill="1" applyBorder="1" applyAlignment="1">
      <alignment/>
    </xf>
    <xf numFmtId="0" fontId="1" fillId="0" borderId="0" xfId="54" applyFont="1" applyFill="1" applyAlignment="1">
      <alignment vertical="center"/>
      <protection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0" fontId="6" fillId="0" borderId="0" xfId="52" applyFont="1" applyFill="1">
      <alignment/>
      <protection/>
    </xf>
    <xf numFmtId="0" fontId="6" fillId="0" borderId="11" xfId="52" applyFont="1" applyFill="1" applyBorder="1" applyAlignment="1">
      <alignment vertical="center" wrapText="1"/>
      <protection/>
    </xf>
    <xf numFmtId="0" fontId="6" fillId="0" borderId="12" xfId="52" applyFont="1" applyFill="1" applyBorder="1" applyAlignment="1">
      <alignment horizontal="right" vertical="center" wrapText="1"/>
      <protection/>
    </xf>
    <xf numFmtId="43" fontId="6" fillId="0" borderId="13" xfId="63" applyFont="1" applyFill="1" applyBorder="1" applyAlignment="1">
      <alignment horizontal="right" vertical="center" wrapText="1"/>
    </xf>
    <xf numFmtId="43" fontId="6" fillId="0" borderId="14" xfId="63" applyFont="1" applyFill="1" applyBorder="1" applyAlignment="1">
      <alignment/>
    </xf>
    <xf numFmtId="43" fontId="6" fillId="0" borderId="10" xfId="63" applyFont="1" applyFill="1" applyBorder="1" applyAlignment="1">
      <alignment/>
    </xf>
    <xf numFmtId="183" fontId="6" fillId="0" borderId="0" xfId="63" applyNumberFormat="1" applyFont="1" applyFill="1" applyAlignment="1">
      <alignment/>
    </xf>
    <xf numFmtId="43" fontId="6" fillId="0" borderId="0" xfId="52" applyNumberFormat="1" applyFont="1" applyFill="1">
      <alignment/>
      <protection/>
    </xf>
    <xf numFmtId="43" fontId="6" fillId="0" borderId="10" xfId="52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right" vertical="center" wrapText="1"/>
      <protection/>
    </xf>
    <xf numFmtId="43" fontId="6" fillId="0" borderId="16" xfId="63" applyFont="1" applyFill="1" applyBorder="1" applyAlignment="1">
      <alignment horizontal="right" vertical="center" wrapText="1"/>
    </xf>
    <xf numFmtId="0" fontId="6" fillId="0" borderId="17" xfId="52" applyFont="1" applyFill="1" applyBorder="1" applyAlignment="1">
      <alignment vertical="center" wrapText="1"/>
      <protection/>
    </xf>
    <xf numFmtId="0" fontId="6" fillId="0" borderId="18" xfId="52" applyFont="1" applyFill="1" applyBorder="1" applyAlignment="1">
      <alignment horizontal="right" vertical="center" wrapText="1"/>
      <protection/>
    </xf>
    <xf numFmtId="43" fontId="6" fillId="0" borderId="19" xfId="63" applyFont="1" applyFill="1" applyBorder="1" applyAlignment="1">
      <alignment horizontal="right" vertical="center" wrapText="1"/>
    </xf>
    <xf numFmtId="180" fontId="6" fillId="0" borderId="10" xfId="63" applyNumberFormat="1" applyFont="1" applyFill="1" applyBorder="1" applyAlignment="1">
      <alignment/>
    </xf>
    <xf numFmtId="180" fontId="6" fillId="0" borderId="10" xfId="52" applyNumberFormat="1" applyFont="1" applyFill="1" applyBorder="1">
      <alignment/>
      <protection/>
    </xf>
    <xf numFmtId="180" fontId="6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Alignment="1">
      <alignment horizontal="center" wrapText="1"/>
      <protection/>
    </xf>
    <xf numFmtId="0" fontId="70" fillId="0" borderId="10" xfId="0" applyFont="1" applyBorder="1" applyAlignment="1">
      <alignment horizontal="center" vertical="top" wrapText="1"/>
    </xf>
    <xf numFmtId="0" fontId="6" fillId="0" borderId="0" xfId="54" applyFont="1" applyFill="1" applyAlignment="1">
      <alignment horizontal="left"/>
      <protection/>
    </xf>
    <xf numFmtId="3" fontId="1" fillId="0" borderId="20" xfId="54" applyNumberFormat="1" applyFont="1" applyFill="1" applyBorder="1" applyAlignment="1">
      <alignment horizontal="center" vertical="center" wrapText="1"/>
      <protection/>
    </xf>
    <xf numFmtId="3" fontId="1" fillId="0" borderId="21" xfId="54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>
      <alignment/>
      <protection/>
    </xf>
    <xf numFmtId="0" fontId="70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70" fillId="0" borderId="10" xfId="0" applyFont="1" applyBorder="1" applyAlignment="1">
      <alignment wrapText="1"/>
    </xf>
    <xf numFmtId="0" fontId="7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4" fontId="12" fillId="0" borderId="10" xfId="55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/>
    </xf>
    <xf numFmtId="2" fontId="71" fillId="0" borderId="0" xfId="0" applyNumberFormat="1" applyFont="1" applyFill="1" applyAlignment="1">
      <alignment vertical="top" wrapText="1"/>
    </xf>
    <xf numFmtId="2" fontId="72" fillId="0" borderId="0" xfId="0" applyNumberFormat="1" applyFont="1" applyFill="1" applyAlignment="1">
      <alignment vertical="top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/>
      <protection/>
    </xf>
    <xf numFmtId="2" fontId="12" fillId="0" borderId="10" xfId="56" applyNumberFormat="1" applyFont="1" applyFill="1" applyBorder="1" applyAlignment="1">
      <alignment horizontal="center"/>
      <protection/>
    </xf>
    <xf numFmtId="192" fontId="73" fillId="0" borderId="10" xfId="65" applyNumberFormat="1" applyFont="1" applyFill="1" applyBorder="1" applyAlignment="1">
      <alignment horizontal="center"/>
    </xf>
    <xf numFmtId="4" fontId="12" fillId="0" borderId="10" xfId="63" applyNumberFormat="1" applyFont="1" applyFill="1" applyBorder="1" applyAlignment="1">
      <alignment horizontal="center"/>
    </xf>
    <xf numFmtId="4" fontId="73" fillId="0" borderId="10" xfId="63" applyNumberFormat="1" applyFont="1" applyBorder="1" applyAlignment="1">
      <alignment horizontal="center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top" wrapText="1"/>
      <protection/>
    </xf>
    <xf numFmtId="4" fontId="6" fillId="0" borderId="10" xfId="55" applyNumberFormat="1" applyFont="1" applyFill="1" applyBorder="1" applyAlignment="1">
      <alignment horizontal="left" vertical="top"/>
      <protection/>
    </xf>
    <xf numFmtId="4" fontId="7" fillId="0" borderId="10" xfId="0" applyNumberFormat="1" applyFont="1" applyBorder="1" applyAlignment="1">
      <alignment horizontal="center"/>
    </xf>
    <xf numFmtId="0" fontId="8" fillId="33" borderId="10" xfId="54" applyFont="1" applyFill="1" applyBorder="1">
      <alignment/>
      <protection/>
    </xf>
    <xf numFmtId="4" fontId="74" fillId="0" borderId="10" xfId="63" applyNumberFormat="1" applyFont="1" applyBorder="1" applyAlignment="1">
      <alignment horizontal="center"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>
      <alignment/>
      <protection/>
    </xf>
    <xf numFmtId="2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80" fontId="70" fillId="0" borderId="0" xfId="0" applyNumberFormat="1" applyFont="1" applyFill="1" applyBorder="1" applyAlignment="1">
      <alignment horizontal="right"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2" fontId="73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180" fontId="6" fillId="0" borderId="10" xfId="54" applyNumberFormat="1" applyFont="1" applyFill="1" applyBorder="1" applyAlignment="1">
      <alignment horizontal="right"/>
      <protection/>
    </xf>
    <xf numFmtId="0" fontId="6" fillId="0" borderId="10" xfId="54" applyFont="1" applyFill="1" applyBorder="1">
      <alignment/>
      <protection/>
    </xf>
    <xf numFmtId="180" fontId="70" fillId="0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 horizontal="right" vertical="center"/>
      <protection/>
    </xf>
    <xf numFmtId="0" fontId="1" fillId="0" borderId="0" xfId="54" applyFont="1" applyFill="1" applyAlignment="1">
      <alignment horizontal="center"/>
      <protection/>
    </xf>
    <xf numFmtId="4" fontId="12" fillId="0" borderId="22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12" fillId="0" borderId="0" xfId="54" applyFont="1" applyFill="1">
      <alignment/>
      <protection/>
    </xf>
    <xf numFmtId="4" fontId="12" fillId="0" borderId="20" xfId="54" applyNumberFormat="1" applyFont="1" applyFill="1" applyBorder="1" applyAlignment="1">
      <alignment/>
      <protection/>
    </xf>
    <xf numFmtId="4" fontId="12" fillId="0" borderId="21" xfId="54" applyNumberFormat="1" applyFont="1" applyFill="1" applyBorder="1" applyAlignment="1">
      <alignment/>
      <protection/>
    </xf>
    <xf numFmtId="180" fontId="12" fillId="0" borderId="0" xfId="54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3" fontId="15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wrapText="1"/>
      <protection/>
    </xf>
    <xf numFmtId="4" fontId="12" fillId="0" borderId="10" xfId="54" applyNumberFormat="1" applyFont="1" applyFill="1" applyBorder="1" applyAlignment="1">
      <alignment horizontal="right"/>
      <protection/>
    </xf>
    <xf numFmtId="196" fontId="1" fillId="0" borderId="10" xfId="67" applyNumberFormat="1" applyFont="1" applyFill="1" applyBorder="1" applyAlignment="1">
      <alignment horizontal="center"/>
    </xf>
    <xf numFmtId="196" fontId="5" fillId="0" borderId="10" xfId="67" applyNumberFormat="1" applyFont="1" applyFill="1" applyBorder="1" applyAlignment="1">
      <alignment horizontal="center"/>
    </xf>
    <xf numFmtId="4" fontId="12" fillId="0" borderId="10" xfId="54" applyNumberFormat="1" applyFont="1" applyFill="1" applyBorder="1" applyAlignment="1">
      <alignment wrapText="1"/>
      <protection/>
    </xf>
    <xf numFmtId="0" fontId="12" fillId="0" borderId="10" xfId="54" applyFont="1" applyFill="1" applyBorder="1">
      <alignment/>
      <protection/>
    </xf>
    <xf numFmtId="3" fontId="12" fillId="0" borderId="10" xfId="54" applyNumberFormat="1" applyFont="1" applyFill="1" applyBorder="1" applyAlignment="1">
      <alignment horizontal="center"/>
      <protection/>
    </xf>
    <xf numFmtId="4" fontId="12" fillId="0" borderId="10" xfId="54" applyNumberFormat="1" applyFont="1" applyFill="1" applyBorder="1" applyAlignment="1">
      <alignment horizontal="center"/>
      <protection/>
    </xf>
    <xf numFmtId="4" fontId="1" fillId="0" borderId="10" xfId="55" applyNumberFormat="1" applyFont="1" applyFill="1" applyBorder="1" applyAlignment="1">
      <alignment horizontal="center"/>
      <protection/>
    </xf>
    <xf numFmtId="43" fontId="1" fillId="0" borderId="10" xfId="67" applyFont="1" applyFill="1" applyBorder="1" applyAlignment="1">
      <alignment horizontal="center"/>
    </xf>
    <xf numFmtId="197" fontId="14" fillId="0" borderId="10" xfId="67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80" fontId="1" fillId="0" borderId="10" xfId="54" applyNumberFormat="1" applyFont="1" applyFill="1" applyBorder="1" applyAlignment="1">
      <alignment horizontal="center"/>
      <protection/>
    </xf>
    <xf numFmtId="4" fontId="12" fillId="0" borderId="10" xfId="55" applyNumberFormat="1" applyFont="1" applyFill="1" applyBorder="1" applyAlignment="1">
      <alignment horizontal="center" vertical="top"/>
      <protection/>
    </xf>
    <xf numFmtId="4" fontId="14" fillId="0" borderId="10" xfId="0" applyNumberFormat="1" applyFont="1" applyFill="1" applyBorder="1" applyAlignment="1">
      <alignment horizontal="center"/>
    </xf>
    <xf numFmtId="4" fontId="12" fillId="0" borderId="10" xfId="55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4" fontId="1" fillId="0" borderId="10" xfId="54" applyNumberFormat="1" applyFont="1" applyFill="1" applyBorder="1" applyAlignment="1">
      <alignment horizontal="center"/>
      <protection/>
    </xf>
    <xf numFmtId="3" fontId="1" fillId="0" borderId="10" xfId="54" applyNumberFormat="1" applyFont="1" applyFill="1" applyBorder="1" applyAlignment="1">
      <alignment horizontal="center"/>
      <protection/>
    </xf>
    <xf numFmtId="180" fontId="12" fillId="0" borderId="10" xfId="54" applyNumberFormat="1" applyFont="1" applyFill="1" applyBorder="1" applyAlignment="1">
      <alignment horizontal="center"/>
      <protection/>
    </xf>
    <xf numFmtId="192" fontId="14" fillId="0" borderId="10" xfId="67" applyNumberFormat="1" applyFont="1" applyFill="1" applyBorder="1" applyAlignment="1">
      <alignment horizontal="center"/>
    </xf>
    <xf numFmtId="192" fontId="12" fillId="0" borderId="10" xfId="54" applyNumberFormat="1" applyFont="1" applyFill="1" applyBorder="1" applyAlignment="1">
      <alignment horizontal="center"/>
      <protection/>
    </xf>
    <xf numFmtId="4" fontId="1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left" vertical="top" wrapText="1"/>
    </xf>
    <xf numFmtId="3" fontId="70" fillId="0" borderId="10" xfId="0" applyNumberFormat="1" applyFont="1" applyFill="1" applyBorder="1" applyAlignment="1">
      <alignment horizontal="center" vertical="top" wrapText="1"/>
    </xf>
    <xf numFmtId="180" fontId="70" fillId="0" borderId="10" xfId="0" applyNumberFormat="1" applyFont="1" applyFill="1" applyBorder="1" applyAlignment="1">
      <alignment horizontal="center" vertical="top" wrapText="1"/>
    </xf>
    <xf numFmtId="43" fontId="70" fillId="0" borderId="10" xfId="63" applyFont="1" applyFill="1" applyBorder="1" applyAlignment="1">
      <alignment horizontal="center" vertical="top" wrapText="1"/>
    </xf>
    <xf numFmtId="0" fontId="75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right" vertical="top" wrapText="1" indent="2"/>
    </xf>
    <xf numFmtId="180" fontId="6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 wrapText="1" indent="2"/>
    </xf>
    <xf numFmtId="180" fontId="70" fillId="0" borderId="10" xfId="0" applyNumberFormat="1" applyFont="1" applyFill="1" applyBorder="1" applyAlignment="1">
      <alignment horizontal="right" vertical="top" wrapText="1" indent="2"/>
    </xf>
    <xf numFmtId="0" fontId="70" fillId="0" borderId="10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right" wrapText="1"/>
    </xf>
    <xf numFmtId="3" fontId="70" fillId="0" borderId="10" xfId="0" applyNumberFormat="1" applyFont="1" applyFill="1" applyBorder="1" applyAlignment="1">
      <alignment horizontal="center" wrapText="1"/>
    </xf>
    <xf numFmtId="180" fontId="70" fillId="0" borderId="10" xfId="0" applyNumberFormat="1" applyFont="1" applyFill="1" applyBorder="1" applyAlignment="1">
      <alignment horizontal="right" wrapText="1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0" fontId="70" fillId="0" borderId="10" xfId="63" applyNumberFormat="1" applyFont="1" applyFill="1" applyBorder="1" applyAlignment="1">
      <alignment horizontal="center" vertical="center"/>
    </xf>
    <xf numFmtId="43" fontId="75" fillId="0" borderId="10" xfId="63" applyFont="1" applyFill="1" applyBorder="1" applyAlignment="1">
      <alignment horizontal="center"/>
    </xf>
    <xf numFmtId="43" fontId="75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180" fontId="70" fillId="0" borderId="10" xfId="63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right"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4" fontId="6" fillId="0" borderId="10" xfId="54" applyNumberFormat="1" applyFont="1" applyFill="1" applyBorder="1" applyAlignment="1">
      <alignment/>
      <protection/>
    </xf>
    <xf numFmtId="180" fontId="70" fillId="0" borderId="10" xfId="0" applyNumberFormat="1" applyFont="1" applyFill="1" applyBorder="1" applyAlignment="1">
      <alignment horizontal="center"/>
    </xf>
    <xf numFmtId="180" fontId="6" fillId="0" borderId="10" xfId="63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6" fillId="0" borderId="0" xfId="54" applyFont="1" applyFill="1" applyAlignment="1">
      <alignment horizontal="center" vertical="top" wrapText="1"/>
      <protection/>
    </xf>
    <xf numFmtId="0" fontId="19" fillId="0" borderId="0" xfId="54" applyFont="1" applyFill="1">
      <alignment/>
      <protection/>
    </xf>
    <xf numFmtId="0" fontId="6" fillId="0" borderId="0" xfId="54" applyFont="1" applyFill="1" applyAlignment="1">
      <alignment horizontal="right" vertical="top" wrapText="1"/>
      <protection/>
    </xf>
    <xf numFmtId="0" fontId="7" fillId="0" borderId="0" xfId="54" applyFont="1" applyFill="1" applyAlignment="1">
      <alignment vertical="center"/>
      <protection/>
    </xf>
    <xf numFmtId="0" fontId="70" fillId="0" borderId="10" xfId="0" applyFont="1" applyFill="1" applyBorder="1" applyAlignment="1">
      <alignment horizontal="center" wrapText="1"/>
    </xf>
    <xf numFmtId="0" fontId="7" fillId="0" borderId="0" xfId="54" applyFont="1" applyFill="1" applyAlignment="1">
      <alignment/>
      <protection/>
    </xf>
    <xf numFmtId="0" fontId="70" fillId="0" borderId="10" xfId="0" applyFont="1" applyFill="1" applyBorder="1" applyAlignment="1">
      <alignment horizontal="justify" wrapText="1"/>
    </xf>
    <xf numFmtId="0" fontId="6" fillId="0" borderId="0" xfId="54" applyFont="1" applyFill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3" fontId="70" fillId="0" borderId="10" xfId="0" applyNumberFormat="1" applyFont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70" fillId="0" borderId="0" xfId="0" applyFont="1" applyAlignment="1">
      <alignment horizontal="right"/>
    </xf>
    <xf numFmtId="180" fontId="70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43" fontId="6" fillId="0" borderId="25" xfId="63" applyFont="1" applyFill="1" applyBorder="1" applyAlignment="1">
      <alignment horizontal="right" vertical="center" wrapText="1"/>
    </xf>
    <xf numFmtId="43" fontId="6" fillId="0" borderId="26" xfId="63" applyFont="1" applyFill="1" applyBorder="1" applyAlignment="1">
      <alignment horizontal="right" vertical="center" wrapText="1"/>
    </xf>
    <xf numFmtId="43" fontId="6" fillId="0" borderId="27" xfId="63" applyFont="1" applyFill="1" applyBorder="1" applyAlignment="1">
      <alignment horizontal="right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43" fontId="6" fillId="0" borderId="10" xfId="63" applyFont="1" applyFill="1" applyBorder="1" applyAlignment="1">
      <alignment horizontal="center"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3" fontId="6" fillId="0" borderId="10" xfId="63" applyFont="1" applyFill="1" applyBorder="1" applyAlignment="1">
      <alignment vertical="center" wrapText="1"/>
    </xf>
    <xf numFmtId="0" fontId="6" fillId="0" borderId="10" xfId="52" applyFont="1" applyFill="1" applyBorder="1" applyAlignment="1">
      <alignment vertical="center" wrapText="1"/>
      <protection/>
    </xf>
    <xf numFmtId="180" fontId="6" fillId="0" borderId="10" xfId="63" applyNumberFormat="1" applyFont="1" applyFill="1" applyBorder="1" applyAlignment="1">
      <alignment horizontal="right" vertical="center" wrapText="1"/>
    </xf>
    <xf numFmtId="43" fontId="6" fillId="0" borderId="10" xfId="63" applyFont="1" applyFill="1" applyBorder="1" applyAlignment="1">
      <alignment horizontal="right" vertical="center" wrapText="1"/>
    </xf>
    <xf numFmtId="4" fontId="6" fillId="0" borderId="10" xfId="63" applyNumberFormat="1" applyFont="1" applyFill="1" applyBorder="1" applyAlignment="1">
      <alignment horizontal="right" vertical="center" wrapText="1"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right" vertical="center" wrapText="1"/>
      <protection/>
    </xf>
    <xf numFmtId="43" fontId="6" fillId="0" borderId="30" xfId="63" applyFont="1" applyFill="1" applyBorder="1" applyAlignment="1">
      <alignment horizontal="right" vertical="center" wrapText="1"/>
    </xf>
    <xf numFmtId="43" fontId="6" fillId="0" borderId="31" xfId="63" applyFont="1" applyFill="1" applyBorder="1" applyAlignment="1">
      <alignment horizontal="right" vertical="center" wrapText="1"/>
    </xf>
    <xf numFmtId="43" fontId="6" fillId="0" borderId="22" xfId="63" applyFont="1" applyFill="1" applyBorder="1" applyAlignment="1">
      <alignment horizontal="center" vertical="center" wrapText="1"/>
    </xf>
    <xf numFmtId="43" fontId="6" fillId="0" borderId="12" xfId="63" applyFont="1" applyFill="1" applyBorder="1" applyAlignment="1">
      <alignment horizontal="center" vertical="center" wrapText="1"/>
    </xf>
    <xf numFmtId="43" fontId="6" fillId="0" borderId="32" xfId="63" applyFont="1" applyFill="1" applyBorder="1" applyAlignment="1">
      <alignment horizontal="right" vertical="center" wrapText="1"/>
    </xf>
    <xf numFmtId="0" fontId="2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wrapText="1"/>
      <protection/>
    </xf>
    <xf numFmtId="0" fontId="8" fillId="0" borderId="0" xfId="54" applyFont="1" applyFill="1" applyAlignment="1">
      <alignment horizontal="right" vertical="top" wrapText="1"/>
      <protection/>
    </xf>
    <xf numFmtId="0" fontId="73" fillId="0" borderId="10" xfId="52" applyFont="1" applyFill="1" applyBorder="1" applyAlignment="1">
      <alignment horizontal="center" vertical="center" wrapText="1"/>
      <protection/>
    </xf>
    <xf numFmtId="180" fontId="6" fillId="0" borderId="10" xfId="54" applyNumberFormat="1" applyFont="1" applyFill="1" applyBorder="1" applyAlignment="1">
      <alignment horizontal="center"/>
      <protection/>
    </xf>
    <xf numFmtId="0" fontId="1" fillId="0" borderId="0" xfId="54" applyFont="1" applyFill="1" applyAlignment="1">
      <alignment horizontal="right"/>
      <protection/>
    </xf>
    <xf numFmtId="0" fontId="1" fillId="0" borderId="10" xfId="54" applyFont="1" applyFill="1" applyBorder="1" applyAlignment="1">
      <alignment horizontal="center" wrapText="1"/>
      <protection/>
    </xf>
    <xf numFmtId="0" fontId="73" fillId="0" borderId="10" xfId="52" applyFont="1" applyFill="1" applyBorder="1" applyAlignment="1">
      <alignment horizontal="left" vertical="top" wrapText="1"/>
      <protection/>
    </xf>
    <xf numFmtId="181" fontId="6" fillId="0" borderId="10" xfId="54" applyNumberFormat="1" applyFont="1" applyFill="1" applyBorder="1" applyAlignment="1">
      <alignment horizontal="center"/>
      <protection/>
    </xf>
    <xf numFmtId="4" fontId="6" fillId="0" borderId="10" xfId="54" applyNumberFormat="1" applyFont="1" applyFill="1" applyBorder="1" applyAlignment="1">
      <alignment horizontal="center"/>
      <protection/>
    </xf>
    <xf numFmtId="3" fontId="6" fillId="0" borderId="10" xfId="54" applyNumberFormat="1" applyFont="1" applyFill="1" applyBorder="1" applyAlignment="1">
      <alignment horizontal="center"/>
      <protection/>
    </xf>
    <xf numFmtId="0" fontId="73" fillId="0" borderId="10" xfId="52" applyFont="1" applyFill="1" applyBorder="1" applyAlignment="1">
      <alignment horizontal="left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center"/>
    </xf>
    <xf numFmtId="0" fontId="9" fillId="0" borderId="0" xfId="54" applyFont="1" applyFill="1" applyBorder="1" applyAlignment="1">
      <alignment horizontal="center"/>
      <protection/>
    </xf>
    <xf numFmtId="185" fontId="1" fillId="0" borderId="0" xfId="54" applyNumberFormat="1" applyFont="1" applyFill="1">
      <alignment/>
      <protection/>
    </xf>
    <xf numFmtId="180" fontId="1" fillId="0" borderId="0" xfId="54" applyNumberFormat="1" applyFont="1" applyFill="1">
      <alignment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>
      <alignment/>
      <protection/>
    </xf>
    <xf numFmtId="43" fontId="9" fillId="0" borderId="10" xfId="65" applyFont="1" applyFill="1" applyBorder="1" applyAlignment="1">
      <alignment vertical="center" wrapText="1"/>
    </xf>
    <xf numFmtId="0" fontId="9" fillId="0" borderId="10" xfId="54" applyFont="1" applyFill="1" applyBorder="1" applyAlignment="1">
      <alignment wrapText="1"/>
      <protection/>
    </xf>
    <xf numFmtId="4" fontId="9" fillId="0" borderId="10" xfId="54" applyNumberFormat="1" applyFont="1" applyFill="1" applyBorder="1" applyAlignment="1">
      <alignment horizontal="right"/>
      <protection/>
    </xf>
    <xf numFmtId="180" fontId="9" fillId="0" borderId="10" xfId="54" applyNumberFormat="1" applyFont="1" applyFill="1" applyBorder="1" applyAlignment="1">
      <alignment horizontal="right"/>
      <protection/>
    </xf>
    <xf numFmtId="0" fontId="24" fillId="0" borderId="0" xfId="52" applyFont="1" applyFill="1" applyAlignment="1">
      <alignment horizontal="center"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Border="1" applyAlignment="1">
      <alignment horizontal="left" wrapText="1"/>
      <protection/>
    </xf>
    <xf numFmtId="173" fontId="1" fillId="0" borderId="0" xfId="52" applyNumberFormat="1" applyFont="1" applyFill="1" applyBorder="1" applyAlignment="1">
      <alignment horizontal="right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vertical="center"/>
      <protection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180" fontId="6" fillId="0" borderId="10" xfId="52" applyNumberFormat="1" applyFont="1" applyFill="1" applyBorder="1" applyAlignment="1">
      <alignment horizontal="center" vertical="center" wrapText="1"/>
      <protection/>
    </xf>
    <xf numFmtId="180" fontId="6" fillId="0" borderId="0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180" fontId="6" fillId="0" borderId="0" xfId="52" applyNumberFormat="1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right" wrapText="1"/>
      <protection/>
    </xf>
    <xf numFmtId="180" fontId="6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right" wrapText="1"/>
      <protection/>
    </xf>
    <xf numFmtId="180" fontId="6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 applyFill="1" applyAlignment="1">
      <alignment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left" wrapText="1"/>
      <protection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0" fillId="0" borderId="0" xfId="0" applyFont="1" applyAlignment="1">
      <alignment horizontal="center" vertical="center" wrapText="1"/>
    </xf>
    <xf numFmtId="0" fontId="76" fillId="0" borderId="10" xfId="0" applyFont="1" applyFill="1" applyBorder="1" applyAlignment="1">
      <alignment horizontal="center"/>
    </xf>
    <xf numFmtId="180" fontId="7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0" fillId="0" borderId="10" xfId="52" applyFont="1" applyFill="1" applyBorder="1" applyAlignment="1">
      <alignment horizontal="left" wrapText="1"/>
      <protection/>
    </xf>
    <xf numFmtId="2" fontId="76" fillId="0" borderId="10" xfId="0" applyNumberFormat="1" applyFont="1" applyFill="1" applyBorder="1" applyAlignment="1">
      <alignment horizontal="center"/>
    </xf>
    <xf numFmtId="172" fontId="76" fillId="0" borderId="10" xfId="0" applyNumberFormat="1" applyFont="1" applyFill="1" applyBorder="1" applyAlignment="1">
      <alignment horizontal="center"/>
    </xf>
    <xf numFmtId="173" fontId="7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182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80" fontId="7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wrapText="1"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wrapText="1"/>
      <protection/>
    </xf>
    <xf numFmtId="0" fontId="23" fillId="0" borderId="10" xfId="52" applyFont="1" applyFill="1" applyBorder="1" applyAlignment="1">
      <alignment horizontal="center" wrapText="1"/>
      <protection/>
    </xf>
    <xf numFmtId="184" fontId="6" fillId="0" borderId="10" xfId="65" applyNumberFormat="1" applyFont="1" applyFill="1" applyBorder="1" applyAlignment="1">
      <alignment horizontal="center" wrapText="1"/>
    </xf>
    <xf numFmtId="0" fontId="6" fillId="0" borderId="14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190" fontId="6" fillId="0" borderId="10" xfId="65" applyNumberFormat="1" applyFont="1" applyFill="1" applyBorder="1" applyAlignment="1">
      <alignment horizontal="center" wrapText="1"/>
    </xf>
    <xf numFmtId="43" fontId="6" fillId="0" borderId="14" xfId="65" applyNumberFormat="1" applyFont="1" applyFill="1" applyBorder="1" applyAlignment="1">
      <alignment horizontal="right" wrapText="1"/>
    </xf>
    <xf numFmtId="201" fontId="6" fillId="0" borderId="10" xfId="65" applyNumberFormat="1" applyFont="1" applyFill="1" applyBorder="1" applyAlignment="1">
      <alignment horizontal="center" wrapText="1"/>
    </xf>
    <xf numFmtId="173" fontId="6" fillId="0" borderId="10" xfId="52" applyNumberFormat="1" applyFont="1" applyFill="1" applyBorder="1" applyAlignment="1">
      <alignment horizontal="center"/>
      <protection/>
    </xf>
    <xf numFmtId="180" fontId="6" fillId="0" borderId="14" xfId="52" applyNumberFormat="1" applyFont="1" applyFill="1" applyBorder="1" applyAlignment="1">
      <alignment horizontal="center"/>
      <protection/>
    </xf>
    <xf numFmtId="184" fontId="6" fillId="0" borderId="0" xfId="52" applyNumberFormat="1" applyFont="1" applyFill="1" applyAlignment="1">
      <alignment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184" fontId="6" fillId="0" borderId="10" xfId="52" applyNumberFormat="1" applyFont="1" applyFill="1" applyBorder="1" applyAlignment="1">
      <alignment horizontal="center"/>
      <protection/>
    </xf>
    <xf numFmtId="173" fontId="6" fillId="0" borderId="0" xfId="52" applyNumberFormat="1" applyFont="1" applyFill="1" applyAlignment="1">
      <alignment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173" fontId="6" fillId="0" borderId="0" xfId="52" applyNumberFormat="1" applyFont="1" applyFill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70" fillId="0" borderId="10" xfId="52" applyFont="1" applyBorder="1" applyAlignment="1">
      <alignment horizontal="center" vertical="top" wrapText="1"/>
      <protection/>
    </xf>
    <xf numFmtId="0" fontId="22" fillId="0" borderId="10" xfId="52" applyFont="1" applyFill="1" applyBorder="1">
      <alignment/>
      <protection/>
    </xf>
    <xf numFmtId="0" fontId="70" fillId="0" borderId="10" xfId="52" applyFont="1" applyBorder="1" applyAlignment="1">
      <alignment horizontal="center"/>
      <protection/>
    </xf>
    <xf numFmtId="43" fontId="70" fillId="0" borderId="10" xfId="65" applyFont="1" applyFill="1" applyBorder="1" applyAlignment="1">
      <alignment horizontal="center"/>
    </xf>
    <xf numFmtId="180" fontId="70" fillId="0" borderId="10" xfId="65" applyNumberFormat="1" applyFont="1" applyBorder="1" applyAlignment="1">
      <alignment horizontal="center"/>
    </xf>
    <xf numFmtId="0" fontId="22" fillId="0" borderId="10" xfId="52" applyFont="1" applyFill="1" applyBorder="1" applyAlignment="1">
      <alignment wrapText="1"/>
      <protection/>
    </xf>
    <xf numFmtId="0" fontId="70" fillId="0" borderId="10" xfId="52" applyFont="1" applyFill="1" applyBorder="1">
      <alignment/>
      <protection/>
    </xf>
    <xf numFmtId="4" fontId="70" fillId="0" borderId="10" xfId="52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2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172" fontId="6" fillId="0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horizontal="center"/>
    </xf>
    <xf numFmtId="1" fontId="70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 applyAlignment="1">
      <alignment horizontal="center"/>
    </xf>
    <xf numFmtId="0" fontId="22" fillId="0" borderId="0" xfId="53" applyFont="1" applyFill="1" applyAlignment="1">
      <alignment vertical="center" wrapText="1"/>
      <protection/>
    </xf>
    <xf numFmtId="0" fontId="22" fillId="0" borderId="0" xfId="53" applyFont="1" applyFill="1" applyBorder="1" applyAlignment="1">
      <alignment horizontal="right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0" fillId="0" borderId="12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180" fontId="22" fillId="0" borderId="10" xfId="53" applyNumberFormat="1" applyFont="1" applyFill="1" applyBorder="1" applyAlignment="1">
      <alignment horizontal="center" wrapText="1"/>
      <protection/>
    </xf>
    <xf numFmtId="180" fontId="6" fillId="0" borderId="10" xfId="53" applyNumberFormat="1" applyFont="1" applyFill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/>
    </xf>
    <xf numFmtId="180" fontId="6" fillId="0" borderId="10" xfId="52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3" fillId="0" borderId="10" xfId="0" applyFont="1" applyBorder="1" applyAlignment="1">
      <alignment vertical="top" wrapText="1"/>
    </xf>
    <xf numFmtId="183" fontId="23" fillId="0" borderId="10" xfId="65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184" fontId="6" fillId="0" borderId="10" xfId="65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left" vertical="top" wrapText="1" indent="2"/>
    </xf>
    <xf numFmtId="184" fontId="6" fillId="0" borderId="33" xfId="65" applyNumberFormat="1" applyFont="1" applyBorder="1" applyAlignment="1">
      <alignment horizontal="right" vertical="top" wrapText="1"/>
    </xf>
    <xf numFmtId="184" fontId="6" fillId="34" borderId="36" xfId="65" applyNumberFormat="1" applyFont="1" applyFill="1" applyBorder="1" applyAlignment="1">
      <alignment horizontal="right" vertical="top" wrapText="1"/>
    </xf>
    <xf numFmtId="184" fontId="6" fillId="34" borderId="37" xfId="65" applyNumberFormat="1" applyFont="1" applyFill="1" applyBorder="1" applyAlignment="1">
      <alignment horizontal="right" vertical="top" wrapText="1"/>
    </xf>
    <xf numFmtId="0" fontId="6" fillId="34" borderId="14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15" xfId="0" applyFont="1" applyBorder="1" applyAlignment="1">
      <alignment vertical="top" wrapText="1"/>
    </xf>
    <xf numFmtId="184" fontId="6" fillId="0" borderId="10" xfId="65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43" fontId="6" fillId="0" borderId="14" xfId="65" applyNumberFormat="1" applyFont="1" applyFill="1" applyBorder="1" applyAlignment="1">
      <alignment horizontal="right" vertical="top" wrapText="1"/>
    </xf>
    <xf numFmtId="0" fontId="6" fillId="0" borderId="38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184" fontId="6" fillId="0" borderId="35" xfId="65" applyNumberFormat="1" applyFont="1" applyBorder="1" applyAlignment="1">
      <alignment horizontal="right" vertical="top"/>
    </xf>
    <xf numFmtId="184" fontId="6" fillId="0" borderId="39" xfId="65" applyNumberFormat="1" applyFont="1" applyFill="1" applyBorder="1" applyAlignment="1">
      <alignment horizontal="right" vertical="top" wrapText="1"/>
    </xf>
    <xf numFmtId="184" fontId="6" fillId="0" borderId="39" xfId="65" applyNumberFormat="1" applyFont="1" applyBorder="1" applyAlignment="1">
      <alignment horizontal="right" vertical="top" wrapText="1"/>
    </xf>
    <xf numFmtId="184" fontId="6" fillId="0" borderId="40" xfId="65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43" fontId="6" fillId="0" borderId="10" xfId="65" applyNumberFormat="1" applyFont="1" applyBorder="1" applyAlignment="1">
      <alignment horizontal="right" vertical="top" wrapText="1"/>
    </xf>
    <xf numFmtId="180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84" fontId="6" fillId="35" borderId="10" xfId="65" applyNumberFormat="1" applyFont="1" applyFill="1" applyBorder="1" applyAlignment="1">
      <alignment horizontal="right" vertical="top" wrapText="1"/>
    </xf>
    <xf numFmtId="184" fontId="23" fillId="0" borderId="10" xfId="65" applyNumberFormat="1" applyFont="1" applyBorder="1" applyAlignment="1">
      <alignment horizontal="right" vertical="top" wrapText="1"/>
    </xf>
    <xf numFmtId="0" fontId="23" fillId="34" borderId="41" xfId="0" applyFont="1" applyFill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184" fontId="6" fillId="0" borderId="43" xfId="65" applyNumberFormat="1" applyFont="1" applyBorder="1" applyAlignment="1">
      <alignment horizontal="right" vertical="top" wrapText="1"/>
    </xf>
    <xf numFmtId="184" fontId="6" fillId="0" borderId="35" xfId="65" applyNumberFormat="1" applyFont="1" applyBorder="1" applyAlignment="1">
      <alignment horizontal="right" vertical="top" wrapText="1"/>
    </xf>
    <xf numFmtId="0" fontId="23" fillId="34" borderId="44" xfId="0" applyFont="1" applyFill="1" applyBorder="1" applyAlignment="1">
      <alignment vertical="top" wrapText="1"/>
    </xf>
    <xf numFmtId="184" fontId="6" fillId="0" borderId="45" xfId="65" applyNumberFormat="1" applyFont="1" applyBorder="1" applyAlignment="1">
      <alignment horizontal="right" vertical="top" wrapText="1"/>
    </xf>
    <xf numFmtId="43" fontId="6" fillId="0" borderId="46" xfId="65" applyNumberFormat="1" applyFont="1" applyBorder="1" applyAlignment="1">
      <alignment horizontal="right" vertical="top" wrapText="1"/>
    </xf>
    <xf numFmtId="0" fontId="6" fillId="0" borderId="47" xfId="0" applyFont="1" applyBorder="1" applyAlignment="1">
      <alignment vertical="top" wrapText="1"/>
    </xf>
    <xf numFmtId="184" fontId="6" fillId="0" borderId="48" xfId="65" applyNumberFormat="1" applyFont="1" applyBorder="1" applyAlignment="1">
      <alignment horizontal="right" vertical="top" wrapText="1"/>
    </xf>
    <xf numFmtId="43" fontId="6" fillId="0" borderId="23" xfId="65" applyNumberFormat="1" applyFont="1" applyBorder="1" applyAlignment="1">
      <alignment horizontal="right" vertical="top" wrapText="1"/>
    </xf>
    <xf numFmtId="0" fontId="23" fillId="34" borderId="10" xfId="0" applyFont="1" applyFill="1" applyBorder="1" applyAlignment="1">
      <alignment horizontal="left" wrapText="1"/>
    </xf>
    <xf numFmtId="184" fontId="23" fillId="34" borderId="10" xfId="65" applyNumberFormat="1" applyFont="1" applyFill="1" applyBorder="1" applyAlignment="1">
      <alignment horizontal="right" wrapText="1"/>
    </xf>
    <xf numFmtId="0" fontId="15" fillId="0" borderId="10" xfId="52" applyFont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/>
    </xf>
    <xf numFmtId="173" fontId="6" fillId="0" borderId="10" xfId="52" applyNumberFormat="1" applyFont="1" applyFill="1" applyBorder="1">
      <alignment/>
      <protection/>
    </xf>
    <xf numFmtId="180" fontId="6" fillId="0" borderId="10" xfId="52" applyNumberFormat="1" applyFont="1" applyBorder="1">
      <alignment/>
      <protection/>
    </xf>
    <xf numFmtId="173" fontId="6" fillId="0" borderId="0" xfId="52" applyNumberFormat="1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7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3" fillId="0" borderId="0" xfId="0" applyNumberFormat="1" applyFont="1" applyBorder="1" applyAlignment="1">
      <alignment horizontal="center"/>
    </xf>
    <xf numFmtId="0" fontId="73" fillId="0" borderId="0" xfId="0" applyFont="1" applyAlignment="1">
      <alignment horizontal="right"/>
    </xf>
    <xf numFmtId="0" fontId="73" fillId="0" borderId="10" xfId="0" applyFont="1" applyBorder="1" applyAlignment="1">
      <alignment horizontal="center" vertical="center" wrapText="1"/>
    </xf>
    <xf numFmtId="180" fontId="73" fillId="0" borderId="10" xfId="0" applyNumberFormat="1" applyFont="1" applyBorder="1" applyAlignment="1">
      <alignment horizontal="center" vertical="center" wrapText="1"/>
    </xf>
    <xf numFmtId="180" fontId="73" fillId="0" borderId="10" xfId="0" applyNumberFormat="1" applyFont="1" applyBorder="1" applyAlignment="1">
      <alignment horizontal="center"/>
    </xf>
    <xf numFmtId="0" fontId="73" fillId="35" borderId="10" xfId="0" applyFont="1" applyFill="1" applyBorder="1" applyAlignment="1">
      <alignment horizontal="left" vertical="center"/>
    </xf>
    <xf numFmtId="0" fontId="73" fillId="35" borderId="10" xfId="0" applyFont="1" applyFill="1" applyBorder="1" applyAlignment="1">
      <alignment/>
    </xf>
    <xf numFmtId="182" fontId="6" fillId="0" borderId="0" xfId="0" applyNumberFormat="1" applyFont="1" applyAlignment="1">
      <alignment vertical="top"/>
    </xf>
    <xf numFmtId="0" fontId="6" fillId="0" borderId="10" xfId="0" applyFont="1" applyFill="1" applyBorder="1" applyAlignment="1">
      <alignment vertical="top" wrapText="1"/>
    </xf>
    <xf numFmtId="180" fontId="70" fillId="0" borderId="10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180" fontId="6" fillId="0" borderId="16" xfId="0" applyNumberFormat="1" applyFont="1" applyFill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52" applyFont="1" applyBorder="1">
      <alignment/>
      <protection/>
    </xf>
    <xf numFmtId="180" fontId="12" fillId="0" borderId="0" xfId="0" applyNumberFormat="1" applyFont="1" applyFill="1" applyBorder="1" applyAlignment="1">
      <alignment horizontal="center"/>
    </xf>
    <xf numFmtId="192" fontId="70" fillId="0" borderId="10" xfId="65" applyNumberFormat="1" applyFont="1" applyFill="1" applyBorder="1" applyAlignment="1">
      <alignment horizontal="center" wrapText="1"/>
    </xf>
    <xf numFmtId="4" fontId="70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1" fillId="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173" fontId="29" fillId="33" borderId="10" xfId="0" applyNumberFormat="1" applyFont="1" applyFill="1" applyBorder="1" applyAlignment="1">
      <alignment horizontal="center"/>
    </xf>
    <xf numFmtId="173" fontId="29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80" fontId="1" fillId="4" borderId="10" xfId="0" applyNumberFormat="1" applyFont="1" applyFill="1" applyBorder="1" applyAlignment="1">
      <alignment horizontal="center"/>
    </xf>
    <xf numFmtId="180" fontId="1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173" fontId="1" fillId="12" borderId="10" xfId="0" applyNumberFormat="1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80" fontId="6" fillId="0" borderId="10" xfId="52" applyNumberFormat="1" applyFont="1" applyBorder="1" applyAlignment="1">
      <alignment horizontal="center"/>
      <protection/>
    </xf>
    <xf numFmtId="0" fontId="11" fillId="0" borderId="10" xfId="56" applyFont="1" applyFill="1" applyBorder="1">
      <alignment/>
      <protection/>
    </xf>
    <xf numFmtId="3" fontId="11" fillId="0" borderId="10" xfId="56" applyNumberFormat="1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/>
      <protection/>
    </xf>
    <xf numFmtId="192" fontId="11" fillId="0" borderId="10" xfId="56" applyNumberFormat="1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15" fillId="35" borderId="10" xfId="52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/>
    </xf>
    <xf numFmtId="0" fontId="6" fillId="35" borderId="10" xfId="52" applyFont="1" applyFill="1" applyBorder="1">
      <alignment/>
      <protection/>
    </xf>
    <xf numFmtId="180" fontId="6" fillId="35" borderId="10" xfId="52" applyNumberFormat="1" applyFont="1" applyFill="1" applyBorder="1" applyAlignment="1">
      <alignment horizontal="center" vertical="center"/>
      <protection/>
    </xf>
    <xf numFmtId="180" fontId="70" fillId="35" borderId="10" xfId="0" applyNumberFormat="1" applyFont="1" applyFill="1" applyBorder="1" applyAlignment="1">
      <alignment/>
    </xf>
    <xf numFmtId="0" fontId="8" fillId="0" borderId="10" xfId="52" applyFont="1" applyFill="1" applyBorder="1">
      <alignment/>
      <protection/>
    </xf>
    <xf numFmtId="180" fontId="69" fillId="0" borderId="10" xfId="0" applyNumberFormat="1" applyFont="1" applyBorder="1" applyAlignment="1">
      <alignment/>
    </xf>
    <xf numFmtId="0" fontId="6" fillId="0" borderId="0" xfId="52" applyFont="1" applyFill="1" applyBorder="1">
      <alignment/>
      <protection/>
    </xf>
    <xf numFmtId="180" fontId="6" fillId="0" borderId="0" xfId="52" applyNumberFormat="1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73" fillId="0" borderId="0" xfId="0" applyFont="1" applyBorder="1" applyAlignment="1">
      <alignment/>
    </xf>
    <xf numFmtId="3" fontId="73" fillId="0" borderId="0" xfId="0" applyNumberFormat="1" applyFont="1" applyBorder="1" applyAlignment="1">
      <alignment/>
    </xf>
    <xf numFmtId="180" fontId="7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54" applyFont="1" applyFill="1" applyAlignment="1">
      <alignment horizontal="center" vertical="top" wrapText="1"/>
      <protection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52" applyFont="1" applyFill="1" applyAlignment="1">
      <alignment horizontal="center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right"/>
      <protection/>
    </xf>
    <xf numFmtId="0" fontId="24" fillId="0" borderId="0" xfId="54" applyFont="1" applyAlignment="1">
      <alignment horizont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0" fillId="0" borderId="0" xfId="54" applyFont="1" applyAlignment="1">
      <alignment horizontal="center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80" fontId="9" fillId="0" borderId="0" xfId="54" applyNumberFormat="1" applyFont="1" applyFill="1" applyAlignment="1">
      <alignment horizontal="center"/>
      <protection/>
    </xf>
    <xf numFmtId="0" fontId="9" fillId="0" borderId="0" xfId="54" applyFont="1" applyFill="1" applyAlignment="1">
      <alignment horizont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54" applyFont="1" applyFill="1" applyAlignment="1">
      <alignment horizontal="center"/>
      <protection/>
    </xf>
    <xf numFmtId="0" fontId="70" fillId="0" borderId="0" xfId="0" applyFont="1" applyAlignment="1">
      <alignment horizontal="center"/>
    </xf>
    <xf numFmtId="0" fontId="2" fillId="0" borderId="0" xfId="54" applyFont="1" applyFill="1" applyAlignment="1">
      <alignment horizontal="center" wrapText="1"/>
      <protection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14" fillId="0" borderId="4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Alignment="1">
      <alignment horizontal="center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6" fontId="1" fillId="0" borderId="10" xfId="67" applyNumberFormat="1" applyFont="1" applyFill="1" applyBorder="1" applyAlignment="1">
      <alignment horizontal="center"/>
    </xf>
    <xf numFmtId="0" fontId="1" fillId="0" borderId="0" xfId="54" applyFont="1" applyFill="1" applyAlignment="1">
      <alignment horizontal="center" wrapText="1"/>
      <protection/>
    </xf>
    <xf numFmtId="4" fontId="1" fillId="0" borderId="10" xfId="55" applyNumberFormat="1" applyFont="1" applyFill="1" applyBorder="1" applyAlignment="1">
      <alignment horizontal="left" wrapText="1"/>
      <protection/>
    </xf>
    <xf numFmtId="196" fontId="5" fillId="0" borderId="10" xfId="67" applyNumberFormat="1" applyFont="1" applyFill="1" applyBorder="1" applyAlignment="1">
      <alignment horizontal="center"/>
    </xf>
    <xf numFmtId="4" fontId="12" fillId="0" borderId="10" xfId="54" applyNumberFormat="1" applyFont="1" applyFill="1" applyBorder="1" applyAlignment="1">
      <alignment horizontal="left" wrapText="1"/>
      <protection/>
    </xf>
    <xf numFmtId="0" fontId="1" fillId="0" borderId="10" xfId="54" applyFont="1" applyFill="1" applyBorder="1" applyAlignment="1">
      <alignment horizontal="center"/>
      <protection/>
    </xf>
    <xf numFmtId="197" fontId="5" fillId="0" borderId="10" xfId="67" applyNumberFormat="1" applyFont="1" applyFill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/>
      <protection/>
    </xf>
    <xf numFmtId="4" fontId="12" fillId="0" borderId="10" xfId="54" applyNumberFormat="1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0" borderId="0" xfId="54" applyFont="1" applyFill="1" applyAlignment="1">
      <alignment horizontal="left" vertical="center" wrapText="1"/>
      <protection/>
    </xf>
    <xf numFmtId="2" fontId="71" fillId="0" borderId="0" xfId="0" applyNumberFormat="1" applyFont="1" applyAlignment="1">
      <alignment horizontal="center" vertical="top" wrapText="1"/>
    </xf>
    <xf numFmtId="2" fontId="7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10" xfId="56" applyFont="1" applyFill="1" applyBorder="1" applyAlignment="1">
      <alignment horizontal="center" vertical="center" wrapText="1"/>
      <protection/>
    </xf>
    <xf numFmtId="2" fontId="70" fillId="0" borderId="0" xfId="0" applyNumberFormat="1" applyFont="1" applyFill="1" applyAlignment="1">
      <alignment horizontal="center" vertical="top" wrapText="1"/>
    </xf>
    <xf numFmtId="0" fontId="72" fillId="0" borderId="0" xfId="0" applyFont="1" applyFill="1" applyAlignment="1">
      <alignment horizontal="center"/>
    </xf>
    <xf numFmtId="0" fontId="7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7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72" fillId="35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8" fillId="35" borderId="10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0" fontId="70" fillId="35" borderId="10" xfId="0" applyFont="1" applyFill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0" xfId="0" applyFont="1" applyAlignment="1">
      <alignment horizontal="center" wrapText="1"/>
    </xf>
    <xf numFmtId="0" fontId="70" fillId="0" borderId="33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180" fontId="70" fillId="0" borderId="16" xfId="0" applyNumberFormat="1" applyFont="1" applyBorder="1" applyAlignment="1">
      <alignment horizontal="center"/>
    </xf>
    <xf numFmtId="180" fontId="70" fillId="0" borderId="14" xfId="0" applyNumberFormat="1" applyFont="1" applyBorder="1" applyAlignment="1">
      <alignment horizontal="center"/>
    </xf>
    <xf numFmtId="3" fontId="70" fillId="0" borderId="16" xfId="0" applyNumberFormat="1" applyFont="1" applyBorder="1" applyAlignment="1">
      <alignment horizontal="center"/>
    </xf>
    <xf numFmtId="3" fontId="70" fillId="0" borderId="14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0" fontId="70" fillId="0" borderId="33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3" fontId="70" fillId="0" borderId="53" xfId="0" applyNumberFormat="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180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 wrapText="1"/>
    </xf>
    <xf numFmtId="0" fontId="70" fillId="0" borderId="10" xfId="52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43" fontId="6" fillId="0" borderId="10" xfId="63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70" fillId="0" borderId="0" xfId="0" applyFont="1" applyFill="1" applyAlignment="1">
      <alignment horizontal="center"/>
    </xf>
    <xf numFmtId="2" fontId="72" fillId="0" borderId="0" xfId="0" applyNumberFormat="1" applyFont="1" applyFill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5" fillId="0" borderId="12" xfId="53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70" fillId="0" borderId="0" xfId="52" applyFont="1" applyAlignment="1">
      <alignment horizontal="center" wrapText="1"/>
      <protection/>
    </xf>
    <xf numFmtId="0" fontId="70" fillId="0" borderId="34" xfId="52" applyFont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84" fontId="6" fillId="0" borderId="33" xfId="66" applyNumberFormat="1" applyFont="1" applyFill="1" applyBorder="1" applyAlignment="1">
      <alignment horizontal="center" vertical="center" wrapText="1"/>
    </xf>
    <xf numFmtId="184" fontId="6" fillId="0" borderId="35" xfId="66" applyNumberFormat="1" applyFont="1" applyFill="1" applyBorder="1" applyAlignment="1">
      <alignment horizontal="center" vertical="center" wrapText="1"/>
    </xf>
    <xf numFmtId="184" fontId="6" fillId="0" borderId="12" xfId="66" applyNumberFormat="1" applyFont="1" applyFill="1" applyBorder="1" applyAlignment="1">
      <alignment horizontal="center" vertical="center" wrapText="1"/>
    </xf>
    <xf numFmtId="43" fontId="6" fillId="0" borderId="35" xfId="66" applyNumberFormat="1" applyFont="1" applyFill="1" applyBorder="1" applyAlignment="1">
      <alignment vertical="center" wrapText="1"/>
    </xf>
    <xf numFmtId="43" fontId="6" fillId="0" borderId="12" xfId="66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2" applyFont="1" applyAlignment="1">
      <alignment horizontal="center" wrapText="1"/>
      <protection/>
    </xf>
    <xf numFmtId="0" fontId="1" fillId="0" borderId="34" xfId="52" applyFont="1" applyBorder="1" applyAlignment="1">
      <alignment horizontal="right"/>
      <protection/>
    </xf>
    <xf numFmtId="0" fontId="0" fillId="0" borderId="34" xfId="0" applyFont="1" applyBorder="1" applyAlignment="1">
      <alignment/>
    </xf>
    <xf numFmtId="0" fontId="6" fillId="0" borderId="33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7" fillId="4" borderId="33" xfId="0" applyFont="1" applyFill="1" applyBorder="1" applyAlignment="1">
      <alignment horizontal="center" vertical="center" wrapText="1"/>
    </xf>
    <xf numFmtId="0" fontId="77" fillId="4" borderId="12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77" fillId="36" borderId="33" xfId="0" applyFont="1" applyFill="1" applyBorder="1" applyAlignment="1">
      <alignment horizontal="center" vertical="center" wrapText="1"/>
    </xf>
    <xf numFmtId="0" fontId="77" fillId="36" borderId="1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7" fillId="33" borderId="33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171450</xdr:colOff>
      <xdr:row>15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zoomScaleSheetLayoutView="80" zoomScalePageLayoutView="0" workbookViewId="0" topLeftCell="A2">
      <pane xSplit="6" ySplit="11" topLeftCell="G33" activePane="bottomRight" state="frozen"/>
      <selection pane="topLeft" activeCell="A2" sqref="A2"/>
      <selection pane="topRight" activeCell="G2" sqref="G2"/>
      <selection pane="bottomLeft" activeCell="A13" sqref="A13"/>
      <selection pane="bottomRight" activeCell="A42" sqref="A42"/>
    </sheetView>
  </sheetViews>
  <sheetFormatPr defaultColWidth="9.00390625" defaultRowHeight="41.25" customHeight="1"/>
  <cols>
    <col min="1" max="1" width="40.375" style="1" customWidth="1"/>
    <col min="2" max="2" width="0" style="1" hidden="1" customWidth="1"/>
    <col min="3" max="3" width="10.875" style="1" customWidth="1"/>
    <col min="4" max="4" width="10.625" style="1" customWidth="1"/>
    <col min="5" max="5" width="11.125" style="1" customWidth="1"/>
    <col min="6" max="6" width="12.25390625" style="1" customWidth="1"/>
    <col min="7" max="7" width="11.25390625" style="1" customWidth="1"/>
    <col min="8" max="8" width="10.25390625" style="1" customWidth="1"/>
    <col min="9" max="10" width="11.75390625" style="1" customWidth="1"/>
    <col min="11" max="11" width="11.875" style="1" customWidth="1"/>
    <col min="12" max="12" width="9.875" style="1" customWidth="1"/>
    <col min="13" max="16384" width="9.125" style="1" customWidth="1"/>
  </cols>
  <sheetData>
    <row r="1" spans="1:12" ht="21.75" customHeight="1">
      <c r="A1" s="518" t="s">
        <v>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58.5" customHeight="1">
      <c r="A2" s="519" t="s">
        <v>588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12.7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12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521" t="s">
        <v>30</v>
      </c>
      <c r="L4" s="521"/>
    </row>
    <row r="5" spans="1:12" s="7" customFormat="1" ht="51">
      <c r="A5" s="2" t="s">
        <v>3</v>
      </c>
      <c r="B5" s="2">
        <v>2009</v>
      </c>
      <c r="C5" s="2" t="s">
        <v>10</v>
      </c>
      <c r="D5" s="2" t="s">
        <v>113</v>
      </c>
      <c r="E5" s="2" t="s">
        <v>119</v>
      </c>
      <c r="F5" s="2" t="s">
        <v>118</v>
      </c>
      <c r="G5" s="2" t="s">
        <v>112</v>
      </c>
      <c r="H5" s="2" t="s">
        <v>109</v>
      </c>
      <c r="I5" s="2" t="s">
        <v>117</v>
      </c>
      <c r="J5" s="2" t="s">
        <v>116</v>
      </c>
      <c r="K5" s="2" t="s">
        <v>165</v>
      </c>
      <c r="L5" s="517" t="s">
        <v>16</v>
      </c>
    </row>
    <row r="6" spans="1:12" s="7" customFormat="1" ht="12.75">
      <c r="A6" s="248" t="s">
        <v>17</v>
      </c>
      <c r="B6" s="2"/>
      <c r="C6" s="517" t="s">
        <v>18</v>
      </c>
      <c r="D6" s="517"/>
      <c r="E6" s="517" t="s">
        <v>19</v>
      </c>
      <c r="F6" s="517"/>
      <c r="G6" s="2" t="s">
        <v>20</v>
      </c>
      <c r="H6" s="517" t="s">
        <v>19</v>
      </c>
      <c r="I6" s="517"/>
      <c r="J6" s="2" t="s">
        <v>20</v>
      </c>
      <c r="K6" s="2" t="s">
        <v>19</v>
      </c>
      <c r="L6" s="517"/>
    </row>
    <row r="7" spans="1:12" ht="15" customHeight="1">
      <c r="A7" s="67" t="s">
        <v>21</v>
      </c>
      <c r="B7" s="4"/>
      <c r="C7" s="3">
        <f aca="true" t="shared" si="0" ref="C7:K7">SUM(C9:C11)</f>
        <v>2</v>
      </c>
      <c r="D7" s="3">
        <f t="shared" si="0"/>
        <v>2</v>
      </c>
      <c r="E7" s="3">
        <f t="shared" si="0"/>
        <v>2</v>
      </c>
      <c r="F7" s="3">
        <f t="shared" si="0"/>
        <v>2</v>
      </c>
      <c r="G7" s="3">
        <f t="shared" si="0"/>
        <v>1</v>
      </c>
      <c r="H7" s="3">
        <f t="shared" si="0"/>
        <v>2</v>
      </c>
      <c r="I7" s="3">
        <f t="shared" si="0"/>
        <v>2</v>
      </c>
      <c r="J7" s="3">
        <f t="shared" si="0"/>
        <v>1</v>
      </c>
      <c r="K7" s="3">
        <f t="shared" si="0"/>
        <v>2</v>
      </c>
      <c r="L7" s="3">
        <f>SUM(C7:K7)</f>
        <v>16</v>
      </c>
    </row>
    <row r="8" spans="1:12" ht="12.75" customHeight="1">
      <c r="A8" s="249" t="s">
        <v>13</v>
      </c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67" t="s">
        <v>22</v>
      </c>
      <c r="B9" s="4"/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f>SUM(C9:K9)</f>
        <v>9</v>
      </c>
    </row>
    <row r="10" spans="1:12" ht="12.75">
      <c r="A10" s="67" t="s">
        <v>23</v>
      </c>
      <c r="B10" s="4"/>
      <c r="C10" s="3"/>
      <c r="D10" s="3"/>
      <c r="E10" s="3">
        <v>1</v>
      </c>
      <c r="F10" s="3">
        <v>1</v>
      </c>
      <c r="G10" s="3"/>
      <c r="H10" s="3">
        <v>1</v>
      </c>
      <c r="I10" s="3">
        <v>1</v>
      </c>
      <c r="J10" s="3"/>
      <c r="K10" s="3"/>
      <c r="L10" s="3">
        <f>SUM(C10:K10)</f>
        <v>4</v>
      </c>
    </row>
    <row r="11" spans="1:12" ht="12.75">
      <c r="A11" s="67" t="s">
        <v>24</v>
      </c>
      <c r="B11" s="4"/>
      <c r="C11" s="3">
        <v>1</v>
      </c>
      <c r="D11" s="3">
        <v>1</v>
      </c>
      <c r="E11" s="3"/>
      <c r="F11" s="3"/>
      <c r="G11" s="3"/>
      <c r="H11" s="3"/>
      <c r="I11" s="3"/>
      <c r="J11" s="3"/>
      <c r="K11" s="3">
        <v>1</v>
      </c>
      <c r="L11" s="3">
        <f>SUM(C11:K11)</f>
        <v>3</v>
      </c>
    </row>
    <row r="12" spans="1:12" s="7" customFormat="1" ht="40.5" customHeight="1" hidden="1">
      <c r="A12" s="2" t="s">
        <v>3</v>
      </c>
      <c r="B12" s="2">
        <v>2009</v>
      </c>
      <c r="C12" s="2" t="s">
        <v>10</v>
      </c>
      <c r="D12" s="2" t="s">
        <v>0</v>
      </c>
      <c r="E12" s="2" t="s">
        <v>7</v>
      </c>
      <c r="F12" s="2" t="s">
        <v>6</v>
      </c>
      <c r="G12" s="2" t="s">
        <v>2</v>
      </c>
      <c r="H12" s="2" t="s">
        <v>5</v>
      </c>
      <c r="I12" s="2" t="s">
        <v>11</v>
      </c>
      <c r="J12" s="2" t="s">
        <v>1</v>
      </c>
      <c r="K12" s="2" t="s">
        <v>8</v>
      </c>
      <c r="L12" s="2" t="s">
        <v>16</v>
      </c>
    </row>
    <row r="13" spans="1:12" ht="14.25" customHeight="1">
      <c r="A13" s="4" t="s">
        <v>111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 customHeight="1">
      <c r="A14" s="67" t="s">
        <v>22</v>
      </c>
      <c r="B14" s="4"/>
      <c r="C14" s="5">
        <v>5.807</v>
      </c>
      <c r="D14" s="5">
        <v>5.807</v>
      </c>
      <c r="E14" s="5">
        <v>5.807</v>
      </c>
      <c r="F14" s="5">
        <v>5.807</v>
      </c>
      <c r="G14" s="5">
        <v>5.807</v>
      </c>
      <c r="H14" s="5">
        <v>5.807</v>
      </c>
      <c r="I14" s="5">
        <v>5.807</v>
      </c>
      <c r="J14" s="5">
        <v>5.807</v>
      </c>
      <c r="K14" s="5">
        <v>5.807</v>
      </c>
      <c r="L14" s="5"/>
    </row>
    <row r="15" spans="1:12" ht="21.75" customHeight="1">
      <c r="A15" s="67" t="s">
        <v>23</v>
      </c>
      <c r="B15" s="4"/>
      <c r="C15" s="5"/>
      <c r="D15" s="5"/>
      <c r="E15" s="5">
        <v>5.321</v>
      </c>
      <c r="F15" s="5">
        <v>5.321</v>
      </c>
      <c r="G15" s="5"/>
      <c r="H15" s="5">
        <v>5.321</v>
      </c>
      <c r="I15" s="5">
        <v>5.321</v>
      </c>
      <c r="J15" s="5"/>
      <c r="K15" s="5"/>
      <c r="L15" s="5"/>
    </row>
    <row r="16" spans="1:12" ht="30.75" customHeight="1">
      <c r="A16" s="67" t="s">
        <v>25</v>
      </c>
      <c r="B16" s="4"/>
      <c r="C16" s="5">
        <v>6.41</v>
      </c>
      <c r="D16" s="5">
        <v>6.41</v>
      </c>
      <c r="E16" s="5"/>
      <c r="F16" s="5"/>
      <c r="G16" s="5"/>
      <c r="H16" s="5"/>
      <c r="I16" s="5"/>
      <c r="J16" s="5"/>
      <c r="K16" s="5">
        <v>6.41</v>
      </c>
      <c r="L16" s="5"/>
    </row>
    <row r="17" spans="1:12" ht="14.25" customHeight="1" hidden="1">
      <c r="A17" s="67"/>
      <c r="B17" s="4"/>
      <c r="C17" s="5">
        <f>SUM(C14:C16)</f>
        <v>12.217</v>
      </c>
      <c r="D17" s="5">
        <f aca="true" t="shared" si="1" ref="D17:K17">SUM(D14:D16)</f>
        <v>12.217</v>
      </c>
      <c r="E17" s="5">
        <f t="shared" si="1"/>
        <v>11.128</v>
      </c>
      <c r="F17" s="5">
        <f t="shared" si="1"/>
        <v>11.128</v>
      </c>
      <c r="G17" s="5">
        <f t="shared" si="1"/>
        <v>5.807</v>
      </c>
      <c r="H17" s="5">
        <f t="shared" si="1"/>
        <v>11.128</v>
      </c>
      <c r="I17" s="5">
        <f t="shared" si="1"/>
        <v>11.128</v>
      </c>
      <c r="J17" s="5">
        <f t="shared" si="1"/>
        <v>5.807</v>
      </c>
      <c r="K17" s="5">
        <f t="shared" si="1"/>
        <v>12.217</v>
      </c>
      <c r="L17" s="5"/>
    </row>
    <row r="18" spans="1:12" ht="74.25" customHeight="1">
      <c r="A18" s="67" t="s">
        <v>275</v>
      </c>
      <c r="B18" s="4"/>
      <c r="C18" s="5">
        <v>9.167</v>
      </c>
      <c r="D18" s="5">
        <v>9.167</v>
      </c>
      <c r="E18" s="5">
        <v>9.167</v>
      </c>
      <c r="F18" s="5">
        <v>9.167</v>
      </c>
      <c r="G18" s="5">
        <v>9.167</v>
      </c>
      <c r="H18" s="5">
        <v>9.167</v>
      </c>
      <c r="I18" s="5">
        <v>9.167</v>
      </c>
      <c r="J18" s="5">
        <v>9.9</v>
      </c>
      <c r="K18" s="5">
        <v>9.167</v>
      </c>
      <c r="L18" s="5"/>
    </row>
    <row r="19" spans="1:12" ht="113.25" customHeight="1">
      <c r="A19" s="67" t="s">
        <v>276</v>
      </c>
      <c r="B19" s="4"/>
      <c r="C19" s="5">
        <v>0.302</v>
      </c>
      <c r="D19" s="5">
        <v>0.302</v>
      </c>
      <c r="E19" s="5">
        <v>0.302</v>
      </c>
      <c r="F19" s="5">
        <v>0.302</v>
      </c>
      <c r="G19" s="5">
        <v>0.302</v>
      </c>
      <c r="H19" s="5">
        <v>0.302</v>
      </c>
      <c r="I19" s="5">
        <v>0.302</v>
      </c>
      <c r="J19" s="5">
        <v>0.302</v>
      </c>
      <c r="K19" s="5">
        <v>0.302</v>
      </c>
      <c r="L19" s="5"/>
    </row>
    <row r="20" spans="1:12" ht="24.75" customHeight="1">
      <c r="A20" s="67" t="s">
        <v>277</v>
      </c>
      <c r="B20" s="4"/>
      <c r="C20" s="8">
        <f>22.3*1.055*1.05*1.05</f>
        <v>25.937966250000002</v>
      </c>
      <c r="D20" s="8">
        <f aca="true" t="shared" si="2" ref="D20:K20">22.3*1.055*1.05*1.05</f>
        <v>25.937966250000002</v>
      </c>
      <c r="E20" s="8">
        <f t="shared" si="2"/>
        <v>25.937966250000002</v>
      </c>
      <c r="F20" s="8">
        <f t="shared" si="2"/>
        <v>25.937966250000002</v>
      </c>
      <c r="G20" s="8">
        <f>F20*0.5</f>
        <v>12.968983125000001</v>
      </c>
      <c r="H20" s="8">
        <f t="shared" si="2"/>
        <v>25.937966250000002</v>
      </c>
      <c r="I20" s="8">
        <f t="shared" si="2"/>
        <v>25.937966250000002</v>
      </c>
      <c r="J20" s="8">
        <f>I20*0.5</f>
        <v>12.968983125000001</v>
      </c>
      <c r="K20" s="8">
        <f t="shared" si="2"/>
        <v>25.937966250000002</v>
      </c>
      <c r="L20" s="8"/>
    </row>
    <row r="21" spans="1:12" ht="15.75" customHeight="1">
      <c r="A21" s="67" t="s">
        <v>278</v>
      </c>
      <c r="B21" s="4"/>
      <c r="C21" s="8">
        <f>14.2*1.055</f>
        <v>14.980999999999998</v>
      </c>
      <c r="D21" s="8">
        <f>14.2*1.055</f>
        <v>14.980999999999998</v>
      </c>
      <c r="E21" s="8">
        <f>14.2*1.055</f>
        <v>14.980999999999998</v>
      </c>
      <c r="F21" s="8">
        <f>14.2*1.055</f>
        <v>14.980999999999998</v>
      </c>
      <c r="G21" s="8">
        <f>F21*0.5</f>
        <v>7.490499999999999</v>
      </c>
      <c r="H21" s="8">
        <f>14.2*1.055</f>
        <v>14.980999999999998</v>
      </c>
      <c r="I21" s="8">
        <f>14.2*1.055</f>
        <v>14.980999999999998</v>
      </c>
      <c r="J21" s="8">
        <f>I21*0.5</f>
        <v>7.490499999999999</v>
      </c>
      <c r="K21" s="8">
        <f>14.2*1.055</f>
        <v>14.980999999999998</v>
      </c>
      <c r="L21" s="8"/>
    </row>
    <row r="22" spans="1:12" ht="26.25" customHeight="1">
      <c r="A22" s="67" t="s">
        <v>279</v>
      </c>
      <c r="B22" s="4"/>
      <c r="C22" s="8">
        <f>18.6*1.055*1.05</f>
        <v>20.60415</v>
      </c>
      <c r="D22" s="8">
        <f aca="true" t="shared" si="3" ref="D22:K22">18.6*1.055*1.05</f>
        <v>20.60415</v>
      </c>
      <c r="E22" s="8">
        <f t="shared" si="3"/>
        <v>20.60415</v>
      </c>
      <c r="F22" s="8">
        <f t="shared" si="3"/>
        <v>20.60415</v>
      </c>
      <c r="G22" s="8">
        <f>F22*0.5</f>
        <v>10.302075</v>
      </c>
      <c r="H22" s="8">
        <f t="shared" si="3"/>
        <v>20.60415</v>
      </c>
      <c r="I22" s="8">
        <f t="shared" si="3"/>
        <v>20.60415</v>
      </c>
      <c r="J22" s="8">
        <f>I22*0.5</f>
        <v>10.302075</v>
      </c>
      <c r="K22" s="8">
        <f t="shared" si="3"/>
        <v>20.60415</v>
      </c>
      <c r="L22" s="8"/>
    </row>
    <row r="23" spans="1:12" ht="12.75" customHeight="1">
      <c r="A23" s="67" t="s">
        <v>280</v>
      </c>
      <c r="B23" s="9"/>
      <c r="C23" s="8">
        <f>6.6*1.055</f>
        <v>6.962999999999999</v>
      </c>
      <c r="D23" s="8">
        <f>6.6*1.055</f>
        <v>6.962999999999999</v>
      </c>
      <c r="E23" s="8">
        <f>6.6*1.055</f>
        <v>6.962999999999999</v>
      </c>
      <c r="F23" s="8">
        <f>6.6*1.055</f>
        <v>6.962999999999999</v>
      </c>
      <c r="G23" s="8">
        <f>F23*0.5</f>
        <v>3.4814999999999996</v>
      </c>
      <c r="H23" s="8">
        <f>6.6*1.055</f>
        <v>6.962999999999999</v>
      </c>
      <c r="I23" s="8">
        <f>6.6*1.055</f>
        <v>6.962999999999999</v>
      </c>
      <c r="J23" s="8">
        <f>I23*0.5</f>
        <v>3.4814999999999996</v>
      </c>
      <c r="K23" s="8">
        <f>6.6*1.055</f>
        <v>6.962999999999999</v>
      </c>
      <c r="L23" s="8"/>
    </row>
    <row r="24" spans="1:12" ht="24.75" customHeight="1">
      <c r="A24" s="67" t="s">
        <v>281</v>
      </c>
      <c r="B24" s="4"/>
      <c r="C24" s="8">
        <f>17.5*1.055</f>
        <v>18.4625</v>
      </c>
      <c r="D24" s="8">
        <f>17.5*1.055</f>
        <v>18.4625</v>
      </c>
      <c r="E24" s="8">
        <f>17.5*1.055</f>
        <v>18.4625</v>
      </c>
      <c r="F24" s="8">
        <f>17.5*1.055</f>
        <v>18.4625</v>
      </c>
      <c r="G24" s="8">
        <f>F24*0.5</f>
        <v>9.23125</v>
      </c>
      <c r="H24" s="8">
        <f>17.5*1.055</f>
        <v>18.4625</v>
      </c>
      <c r="I24" s="8">
        <f>17.5*1.055</f>
        <v>18.4625</v>
      </c>
      <c r="J24" s="8">
        <f>I24*0.5</f>
        <v>9.23125</v>
      </c>
      <c r="K24" s="8">
        <f>17.5*1.055</f>
        <v>18.4625</v>
      </c>
      <c r="L24" s="8"/>
    </row>
    <row r="25" spans="1:12" ht="27" customHeight="1">
      <c r="A25" s="67" t="s">
        <v>282</v>
      </c>
      <c r="B25" s="4"/>
      <c r="C25" s="8">
        <v>70</v>
      </c>
      <c r="D25" s="8">
        <v>70</v>
      </c>
      <c r="E25" s="8">
        <v>70</v>
      </c>
      <c r="F25" s="8">
        <v>70</v>
      </c>
      <c r="G25" s="8">
        <v>35</v>
      </c>
      <c r="H25" s="8">
        <v>70</v>
      </c>
      <c r="I25" s="8">
        <v>70</v>
      </c>
      <c r="J25" s="8">
        <v>35</v>
      </c>
      <c r="K25" s="8">
        <v>70</v>
      </c>
      <c r="L25" s="8"/>
    </row>
    <row r="26" spans="1:14" s="10" customFormat="1" ht="15.75" customHeight="1" hidden="1">
      <c r="A26" s="250" t="s">
        <v>28</v>
      </c>
      <c r="B26" s="4"/>
      <c r="C26" s="8">
        <f>(C17*12*2.5)+((C17*C18)+(C17*C18)*0.302)*12+C20+C21+C22+C23+C24+C25</f>
        <v>2273.2409823860007</v>
      </c>
      <c r="D26" s="8">
        <f aca="true" t="shared" si="4" ref="D26:K26">(D17*12*2.5)+((D17*D18)+(D17*D18)*0.302)*12+D20+D21+D22+D23+D24+D25</f>
        <v>2273.2409823860007</v>
      </c>
      <c r="E26" s="8">
        <f t="shared" si="4"/>
        <v>2084.5987308739996</v>
      </c>
      <c r="F26" s="8">
        <f t="shared" si="4"/>
        <v>2084.5987308739996</v>
      </c>
      <c r="G26" s="8">
        <f t="shared" si="4"/>
        <v>1084.3930909810003</v>
      </c>
      <c r="H26" s="8">
        <f t="shared" si="4"/>
        <v>2084.5987308739996</v>
      </c>
      <c r="I26" s="8">
        <f t="shared" si="4"/>
        <v>2084.5987308739996</v>
      </c>
      <c r="J26" s="8">
        <f t="shared" si="4"/>
        <v>1150.8971313250004</v>
      </c>
      <c r="K26" s="8">
        <f t="shared" si="4"/>
        <v>2273.2409823860007</v>
      </c>
      <c r="L26" s="8">
        <f>SUM(C26:K26)+0.1</f>
        <v>17393.50809296</v>
      </c>
      <c r="N26" s="38" t="e">
        <f>L26-#REF!</f>
        <v>#REF!</v>
      </c>
    </row>
    <row r="27" spans="1:12" ht="1.5" customHeight="1" hidden="1">
      <c r="A27" s="250" t="s">
        <v>26</v>
      </c>
      <c r="B27" s="9" t="e">
        <f>#REF!+#REF!</f>
        <v>#REF!</v>
      </c>
      <c r="C27" s="8" t="e">
        <f>(#REF!+#REF!*#REF!)*3*1.302+(#REF!+#REF!*C19)*3*1.302+(C13+C13*C19)*3*1.302+(C18+C18*C19)*3*1.302+C21+C22+C23+C24+C26</f>
        <v>#REF!</v>
      </c>
      <c r="D27" s="8" t="e">
        <f>(#REF!+#REF!*#REF!)*3*1.302+(#REF!+#REF!*D19)*3*1.302+(D13+D13*D19)*3*1.302+(D18+D18*D19)*3*1.302+D21+D22+D23+D24+D26</f>
        <v>#REF!</v>
      </c>
      <c r="E27" s="8" t="e">
        <f>(#REF!+#REF!*#REF!)*3*1.302+(#REF!+#REF!*E19)*3*1.302+(E13+E13*E19)*3*1.302+(E18+E18*E19)*3*1.302+E21+E22+E23+E24+E26</f>
        <v>#REF!</v>
      </c>
      <c r="F27" s="8" t="e">
        <f>(#REF!+#REF!*#REF!)*3*1.302+(#REF!+#REF!*F19)*3*1.302+(F13+F13*F19)*3*1.302+(F18+F18*F19)*3*1.302+F21+F22+F23+F24+F26</f>
        <v>#REF!</v>
      </c>
      <c r="G27" s="8" t="e">
        <f>(#REF!+#REF!*#REF!)*3*1.302+(#REF!+#REF!*G19)*3*1.302+(G13+G13*G19)*3*1.302+(G18+G18*G19)*3*1.302+G21+G22+G23+G24+G26</f>
        <v>#REF!</v>
      </c>
      <c r="H27" s="8" t="e">
        <f>(#REF!+#REF!*#REF!)*3*1.302+(#REF!+#REF!*H19)*3*1.302+(H13+H13*H19)*3*1.302+(H18+H18*H19)*3*1.302+H21+H22+H23+H24+H26</f>
        <v>#REF!</v>
      </c>
      <c r="I27" s="8" t="e">
        <f>(#REF!+#REF!*#REF!)*3*1.302+(#REF!+#REF!*I19)*3*1.302+(I13+I13*I19)*3*1.302+(I18+I18*I19)*3*1.302+I21+I22+I23+I24+I26</f>
        <v>#REF!</v>
      </c>
      <c r="J27" s="8" t="e">
        <f>(#REF!+#REF!*#REF!)*3*1.302+(#REF!+#REF!*J19)*3*1.302+(J13+J13*J19)*3*1.302+(J18+J18*J19)*3*1.302+J21+J22+J23+J24+J26</f>
        <v>#REF!</v>
      </c>
      <c r="K27" s="8" t="e">
        <f>(#REF!+#REF!*#REF!)*3*1.302+(#REF!+#REF!*K19)*3*1.302+(K13+K13*K19)*3*1.302+(K18+K18*K19)*3*1.302+K21+K22+K23+K24+K26</f>
        <v>#REF!</v>
      </c>
      <c r="L27" s="8" t="e">
        <f aca="true" t="shared" si="5" ref="L27:L32">SUM(C27:K27)+0.1</f>
        <v>#REF!</v>
      </c>
    </row>
    <row r="28" spans="1:12" ht="24" customHeight="1" hidden="1">
      <c r="A28" s="250"/>
      <c r="B28" s="4"/>
      <c r="C28" s="8" t="e">
        <f>(#REF!+#REF!*C19)*3*1.302+(#REF!+#REF!*C20)*3*1.302+(C14+C14*C20)*3*1.302+(#REF!+#REF!*C20)*3*1.302+C22+C23+C24+C26+C27</f>
        <v>#REF!</v>
      </c>
      <c r="D28" s="8" t="e">
        <f>(#REF!+#REF!*D19)*3*1.302+(#REF!+#REF!*D20)*3*1.302+(D14+D14*D20)*3*1.302+(#REF!+#REF!*D20)*3*1.302+D22+D23+D24+D26+D27</f>
        <v>#REF!</v>
      </c>
      <c r="E28" s="8" t="e">
        <f>(#REF!+#REF!*E19)*3*1.302+(#REF!+#REF!*E20)*3*1.302+(E14+E14*E20)*3*1.302+(#REF!+#REF!*E20)*3*1.302+E22+E23+E24+E26+E27</f>
        <v>#REF!</v>
      </c>
      <c r="F28" s="8" t="e">
        <f>(#REF!+#REF!*F19)*3*1.302+(#REF!+#REF!*F20)*3*1.302+(F14+F14*F20)*3*1.302+(#REF!+#REF!*F20)*3*1.302+F22+F23+F24+F26+F27</f>
        <v>#REF!</v>
      </c>
      <c r="G28" s="8" t="e">
        <f>(#REF!+#REF!*G19)*3*1.302+(#REF!+#REF!*G20)*3*1.302+(G14+G14*G20)*3*1.302+(#REF!+#REF!*G20)*3*1.302+G22+G23+G24+G26+G27</f>
        <v>#REF!</v>
      </c>
      <c r="H28" s="8" t="e">
        <f>(#REF!+#REF!*H19)*3*1.302+(#REF!+#REF!*H20)*3*1.302+(H14+H14*H20)*3*1.302+(#REF!+#REF!*H20)*3*1.302+H22+H23+H24+H26+H27</f>
        <v>#REF!</v>
      </c>
      <c r="I28" s="8" t="e">
        <f>(#REF!+#REF!*I19)*3*1.302+(#REF!+#REF!*I20)*3*1.302+(I14+I14*I20)*3*1.302+(#REF!+#REF!*I20)*3*1.302+I22+I23+I24+I26+I27</f>
        <v>#REF!</v>
      </c>
      <c r="J28" s="8" t="e">
        <f>(#REF!+#REF!*J19)*3*1.302+(#REF!+#REF!*J20)*3*1.302+(J14+J14*J20)*3*1.302+(#REF!+#REF!*J20)*3*1.302+J22+J23+J24+J26+J27</f>
        <v>#REF!</v>
      </c>
      <c r="K28" s="8" t="e">
        <f>(#REF!+#REF!*K19)*3*1.302+(#REF!+#REF!*K20)*3*1.302+(K14+K14*K20)*3*1.302+(#REF!+#REF!*K20)*3*1.302+K22+K23+K24+K26+K27</f>
        <v>#REF!</v>
      </c>
      <c r="L28" s="8" t="e">
        <f t="shared" si="5"/>
        <v>#REF!</v>
      </c>
    </row>
    <row r="29" spans="1:12" ht="21.75" customHeight="1" hidden="1">
      <c r="A29" s="251"/>
      <c r="B29" s="4"/>
      <c r="C29" s="8" t="e">
        <f>(#REF!+#REF!*C20)*3*1.302+(#REF!+#REF!*C21)*3*1.302+(C15+C15*C21)*3*1.302+(C19+C19*C21)*3*1.302+C23+C24+C26+C27+C28</f>
        <v>#REF!</v>
      </c>
      <c r="D29" s="8" t="e">
        <f>(#REF!+#REF!*D20)*3*1.302+(#REF!+#REF!*D21)*3*1.302+(D15+D15*D21)*3*1.302+(D19+D19*D21)*3*1.302+D23+D24+D26+D27+D28</f>
        <v>#REF!</v>
      </c>
      <c r="E29" s="8" t="e">
        <f>(#REF!+#REF!*E20)*3*1.302+(#REF!+#REF!*E21)*3*1.302+(E15+E15*E21)*3*1.302+(E19+E19*E21)*3*1.302+E23+E24+E26+E27+E28</f>
        <v>#REF!</v>
      </c>
      <c r="F29" s="8" t="e">
        <f>(#REF!+#REF!*F20)*3*1.302+(#REF!+#REF!*F21)*3*1.302+(F15+F15*F21)*3*1.302+(F19+F19*F21)*3*1.302+F23+F24+F26+F27+F28</f>
        <v>#REF!</v>
      </c>
      <c r="G29" s="8" t="e">
        <f>(#REF!+#REF!*G20)*3*1.302+(#REF!+#REF!*G21)*3*1.302+(G15+G15*G21)*3*1.302+(G19+G19*G21)*3*1.302+G23+G24+G26+G27+G28</f>
        <v>#REF!</v>
      </c>
      <c r="H29" s="8" t="e">
        <f>(#REF!+#REF!*H20)*3*1.302+(#REF!+#REF!*H21)*3*1.302+(H15+H15*H21)*3*1.302+(H19+H19*H21)*3*1.302+H23+H24+H26+H27+H28</f>
        <v>#REF!</v>
      </c>
      <c r="I29" s="8" t="e">
        <f>(#REF!+#REF!*I20)*3*1.302+(#REF!+#REF!*I21)*3*1.302+(I15+I15*I21)*3*1.302+(I19+I19*I21)*3*1.302+I23+I24+I26+I27+I28</f>
        <v>#REF!</v>
      </c>
      <c r="J29" s="8" t="e">
        <f>(#REF!+#REF!*J20)*3*1.302+(#REF!+#REF!*J21)*3*1.302+(J15+J15*J21)*3*1.302+(J19+J19*J21)*3*1.302+J23+J24+J26+J27+J28</f>
        <v>#REF!</v>
      </c>
      <c r="K29" s="8" t="e">
        <f>(#REF!+#REF!*K20)*3*1.302+(#REF!+#REF!*K21)*3*1.302+(K15+K15*K21)*3*1.302+(K19+K19*K21)*3*1.302+K23+K24+K26+K27+K28</f>
        <v>#REF!</v>
      </c>
      <c r="L29" s="8" t="e">
        <f t="shared" si="5"/>
        <v>#REF!</v>
      </c>
    </row>
    <row r="30" spans="1:12" ht="25.5" customHeight="1" hidden="1">
      <c r="A30" s="251" t="s">
        <v>27</v>
      </c>
      <c r="B30" s="4"/>
      <c r="C30" s="8" t="e">
        <f>(#REF!+#REF!*C21)*3*1.302+(#REF!+#REF!*C22)*3*1.302+(C16+C16*C22)*3*1.302+(C20+C20*C22)*3*1.302+C24+C26+C27+C28+C29</f>
        <v>#REF!</v>
      </c>
      <c r="D30" s="8" t="e">
        <f>(#REF!+#REF!*D21)*3*1.302+(#REF!+#REF!*D22)*3*1.302+(D16+D16*D22)*3*1.302+(D20+D20*D22)*3*1.302+D24+D26+D27+D28+D29</f>
        <v>#REF!</v>
      </c>
      <c r="E30" s="8" t="e">
        <f>(#REF!+#REF!*E21)*3*1.302+(#REF!+#REF!*E22)*3*1.302+(E16+E16*E22)*3*1.302+(E20+E20*E22)*3*1.302+E24+E26+E27+E28+E29</f>
        <v>#REF!</v>
      </c>
      <c r="F30" s="8" t="e">
        <f>(#REF!+#REF!*F21)*3*1.302+(#REF!+#REF!*F22)*3*1.302+(F16+F16*F22)*3*1.302+(F20+F20*F22)*3*1.302+F24+F26+F27+F28+F29</f>
        <v>#REF!</v>
      </c>
      <c r="G30" s="8" t="e">
        <f>(#REF!+#REF!*G21)*3*1.302+(#REF!+#REF!*G22)*3*1.302+(G16+G16*G22)*3*1.302+(G20+G20*G22)*3*1.302+G24+G26+G27+G28+G29</f>
        <v>#REF!</v>
      </c>
      <c r="H30" s="8" t="e">
        <f>(#REF!+#REF!*H21)*3*1.302+(#REF!+#REF!*H22)*3*1.302+(H16+H16*H22)*3*1.302+(H20+H20*H22)*3*1.302+H24+H26+H27+H28+H29</f>
        <v>#REF!</v>
      </c>
      <c r="I30" s="8" t="e">
        <f>(#REF!+#REF!*I21)*3*1.302+(#REF!+#REF!*I22)*3*1.302+(I16+I16*I22)*3*1.302+(I20+I20*I22)*3*1.302+I24+I26+I27+I28+I29</f>
        <v>#REF!</v>
      </c>
      <c r="J30" s="8" t="e">
        <f>(#REF!+#REF!*J21)*3*1.302+(#REF!+#REF!*J22)*3*1.302+(J16+J16*J22)*3*1.302+(J20+J20*J22)*3*1.302+J24+J26+J27+J28+J29</f>
        <v>#REF!</v>
      </c>
      <c r="K30" s="8" t="e">
        <f>(#REF!+#REF!*K21)*3*1.302+(#REF!+#REF!*K22)*3*1.302+(K16+K16*K22)*3*1.302+(K20+K20*K22)*3*1.302+K24+K26+K27+K28+K29</f>
        <v>#REF!</v>
      </c>
      <c r="L30" s="8" t="e">
        <f t="shared" si="5"/>
        <v>#REF!</v>
      </c>
    </row>
    <row r="31" spans="1:12" s="10" customFormat="1" ht="20.25" customHeight="1" hidden="1">
      <c r="A31" s="250" t="s">
        <v>28</v>
      </c>
      <c r="B31" s="4"/>
      <c r="C31" s="8" t="e">
        <f>(#REF!+#REF!*C22)*3*1.302+(#REF!+#REF!*C23)*3*1.302+(C17+C17*C23)*3*1.302+(C21+C21*C23)*3*1.302+C26+C27+C28+C29+C30</f>
        <v>#REF!</v>
      </c>
      <c r="D31" s="8" t="e">
        <f>(#REF!+#REF!*D22)*3*1.302+(#REF!+#REF!*D23)*3*1.302+(D17+D17*D23)*3*1.302+(D21+D21*D23)*3*1.302+D26+D27+D28+D29+D30</f>
        <v>#REF!</v>
      </c>
      <c r="E31" s="8" t="e">
        <f>(#REF!+#REF!*E22)*3*1.302+(#REF!+#REF!*E23)*3*1.302+(E17+E17*E23)*3*1.302+(E21+E21*E23)*3*1.302+E26+E27+E28+E29+E30</f>
        <v>#REF!</v>
      </c>
      <c r="F31" s="8" t="e">
        <f>(#REF!+#REF!*F22)*3*1.302+(#REF!+#REF!*F23)*3*1.302+(F17+F17*F23)*3*1.302+(F21+F21*F23)*3*1.302+F26+F27+F28+F29+F30</f>
        <v>#REF!</v>
      </c>
      <c r="G31" s="8" t="e">
        <f>(#REF!+#REF!*G22)*3*1.302+(#REF!+#REF!*G23)*3*1.302+(G17+G17*G23)*3*1.302+(G21+G21*G23)*3*1.302+G26+G27+G28+G29+G30</f>
        <v>#REF!</v>
      </c>
      <c r="H31" s="8" t="e">
        <f>(#REF!+#REF!*H22)*3*1.302+(#REF!+#REF!*H23)*3*1.302+(H17+H17*H23)*3*1.302+(H21+H21*H23)*3*1.302+H26+H27+H28+H29+H30</f>
        <v>#REF!</v>
      </c>
      <c r="I31" s="8" t="e">
        <f>(#REF!+#REF!*I22)*3*1.302+(#REF!+#REF!*I23)*3*1.302+(I17+I17*I23)*3*1.302+(I21+I21*I23)*3*1.302+I26+I27+I28+I29+I30</f>
        <v>#REF!</v>
      </c>
      <c r="J31" s="8" t="e">
        <f>(#REF!+#REF!*J22)*3*1.302+(#REF!+#REF!*J23)*3*1.302+(J17+J17*J23)*3*1.302+(J21+J21*J23)*3*1.302+J26+J27+J28+J29+J30</f>
        <v>#REF!</v>
      </c>
      <c r="K31" s="8" t="e">
        <f>(#REF!+#REF!*K22)*3*1.302+(#REF!+#REF!*K23)*3*1.302+(K17+K17*K23)*3*1.302+(K21+K21*K23)*3*1.302+K26+K27+K28+K29+K30</f>
        <v>#REF!</v>
      </c>
      <c r="L31" s="8" t="e">
        <f t="shared" si="5"/>
        <v>#REF!</v>
      </c>
    </row>
    <row r="32" spans="1:12" s="10" customFormat="1" ht="20.25" customHeight="1" hidden="1">
      <c r="A32" s="250"/>
      <c r="B32" s="4"/>
      <c r="C32" s="8">
        <v>2088.1</v>
      </c>
      <c r="D32" s="8">
        <v>2088.1</v>
      </c>
      <c r="E32" s="8">
        <v>1909.6</v>
      </c>
      <c r="F32" s="8">
        <v>1909.6</v>
      </c>
      <c r="G32" s="8">
        <v>994.7</v>
      </c>
      <c r="H32" s="8">
        <v>1909.6</v>
      </c>
      <c r="I32" s="8">
        <v>1909.6</v>
      </c>
      <c r="J32" s="8">
        <v>1058.9</v>
      </c>
      <c r="K32" s="8">
        <v>2088.1</v>
      </c>
      <c r="L32" s="8">
        <f t="shared" si="5"/>
        <v>15956.400000000001</v>
      </c>
    </row>
    <row r="33" spans="1:12" ht="18.75" customHeight="1">
      <c r="A33" s="252" t="s">
        <v>271</v>
      </c>
      <c r="B33" s="70"/>
      <c r="C33" s="253">
        <v>2316.8</v>
      </c>
      <c r="D33" s="253">
        <v>1908.8</v>
      </c>
      <c r="E33" s="253">
        <v>1752.9</v>
      </c>
      <c r="F33" s="253">
        <v>2226.2</v>
      </c>
      <c r="G33" s="253">
        <v>1027.2</v>
      </c>
      <c r="H33" s="253">
        <v>1752.9</v>
      </c>
      <c r="I33" s="253">
        <v>1752.8531261052499</v>
      </c>
      <c r="J33" s="253">
        <v>1041.7</v>
      </c>
      <c r="K33" s="253">
        <v>1989.9</v>
      </c>
      <c r="L33" s="253">
        <f>SUM(C33:K33)</f>
        <v>15769.253126105252</v>
      </c>
    </row>
    <row r="34" spans="1:12" ht="9.75" customHeight="1" hidden="1">
      <c r="A34" s="250" t="s">
        <v>29</v>
      </c>
      <c r="B34" s="4"/>
      <c r="C34" s="8">
        <v>1910.916747610944</v>
      </c>
      <c r="D34" s="8">
        <v>1910.916747610944</v>
      </c>
      <c r="E34" s="8">
        <v>1754.9444960989438</v>
      </c>
      <c r="F34" s="8">
        <v>1754.9444960989438</v>
      </c>
      <c r="G34" s="8">
        <f>912.275973593472+0.2</f>
        <v>912.4759735934721</v>
      </c>
      <c r="H34" s="8">
        <v>1754.9444960989438</v>
      </c>
      <c r="I34" s="8">
        <v>1754.9444960989438</v>
      </c>
      <c r="J34" s="8">
        <v>978.780013937472</v>
      </c>
      <c r="K34" s="8">
        <v>1910.916747610944</v>
      </c>
      <c r="L34" s="8">
        <f>SUM(C34:K34)-0.2</f>
        <v>14643.58421475955</v>
      </c>
    </row>
    <row r="35" spans="1:12" ht="18.75" customHeight="1">
      <c r="A35" s="252" t="s">
        <v>272</v>
      </c>
      <c r="B35" s="70"/>
      <c r="C35" s="253">
        <v>2316.8</v>
      </c>
      <c r="D35" s="253">
        <v>1908.8</v>
      </c>
      <c r="E35" s="253">
        <v>1752.9</v>
      </c>
      <c r="F35" s="253">
        <v>2226.2</v>
      </c>
      <c r="G35" s="253">
        <v>1027.2</v>
      </c>
      <c r="H35" s="253">
        <v>1752.9</v>
      </c>
      <c r="I35" s="253">
        <v>1752.8531261052499</v>
      </c>
      <c r="J35" s="253">
        <v>1041.7</v>
      </c>
      <c r="K35" s="253">
        <v>1989.9</v>
      </c>
      <c r="L35" s="253">
        <f>SUM(C35:K35)</f>
        <v>15769.253126105252</v>
      </c>
    </row>
    <row r="36" spans="1:12" ht="16.5" customHeight="1">
      <c r="A36" s="252" t="s">
        <v>359</v>
      </c>
      <c r="B36" s="70"/>
      <c r="C36" s="253">
        <v>2316.8</v>
      </c>
      <c r="D36" s="253">
        <v>1908.8</v>
      </c>
      <c r="E36" s="253">
        <v>1752.9</v>
      </c>
      <c r="F36" s="253">
        <v>2226.2</v>
      </c>
      <c r="G36" s="253">
        <v>1027.2</v>
      </c>
      <c r="H36" s="253">
        <v>1752.9</v>
      </c>
      <c r="I36" s="253">
        <v>1752.8531261052499</v>
      </c>
      <c r="J36" s="253">
        <v>1041.7</v>
      </c>
      <c r="K36" s="253">
        <v>1989.9</v>
      </c>
      <c r="L36" s="253">
        <f>SUM(C36:K36)</f>
        <v>15769.253126105252</v>
      </c>
    </row>
  </sheetData>
  <sheetProtection/>
  <mergeCells count="8">
    <mergeCell ref="C6:D6"/>
    <mergeCell ref="E6:F6"/>
    <mergeCell ref="H6:I6"/>
    <mergeCell ref="A1:L1"/>
    <mergeCell ref="A2:L2"/>
    <mergeCell ref="A3:L3"/>
    <mergeCell ref="K4:L4"/>
    <mergeCell ref="L5:L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8"/>
  <sheetViews>
    <sheetView zoomScalePageLayoutView="0" workbookViewId="0" topLeftCell="A4">
      <selection activeCell="G21" sqref="G21"/>
    </sheetView>
  </sheetViews>
  <sheetFormatPr defaultColWidth="9.00390625" defaultRowHeight="12.75"/>
  <cols>
    <col min="1" max="1" width="33.00390625" style="76" customWidth="1"/>
    <col min="2" max="2" width="26.375" style="76" customWidth="1"/>
    <col min="3" max="3" width="23.75390625" style="76" customWidth="1"/>
    <col min="4" max="4" width="24.75390625" style="76" customWidth="1"/>
    <col min="5" max="5" width="12.00390625" style="76" customWidth="1"/>
    <col min="6" max="6" width="32.75390625" style="76" customWidth="1"/>
    <col min="7" max="7" width="31.00390625" style="76" customWidth="1"/>
    <col min="8" max="8" width="32.375" style="76" customWidth="1"/>
    <col min="9" max="16384" width="9.125" style="76" customWidth="1"/>
  </cols>
  <sheetData>
    <row r="1" spans="1:8" ht="18.75">
      <c r="A1" s="572" t="s">
        <v>107</v>
      </c>
      <c r="B1" s="572"/>
      <c r="C1" s="572"/>
      <c r="D1" s="572"/>
      <c r="E1" s="572"/>
      <c r="F1" s="572"/>
      <c r="G1" s="572"/>
      <c r="H1" s="572"/>
    </row>
    <row r="2" spans="1:8" ht="54" customHeight="1">
      <c r="A2" s="571" t="s">
        <v>323</v>
      </c>
      <c r="B2" s="571"/>
      <c r="C2" s="571"/>
      <c r="D2" s="571"/>
      <c r="E2" s="571"/>
      <c r="F2" s="571"/>
      <c r="G2" s="571"/>
      <c r="H2" s="571"/>
    </row>
    <row r="3" spans="1:8" ht="21" customHeight="1">
      <c r="A3" s="77"/>
      <c r="B3" s="77"/>
      <c r="C3" s="77"/>
      <c r="D3" s="77"/>
      <c r="E3" s="77"/>
      <c r="F3" s="78"/>
      <c r="G3" s="78"/>
      <c r="H3" s="78"/>
    </row>
    <row r="5" spans="6:8" ht="15">
      <c r="F5" s="37"/>
      <c r="G5" s="37"/>
      <c r="H5" s="37" t="s">
        <v>30</v>
      </c>
    </row>
    <row r="6" spans="1:8" s="12" customFormat="1" ht="114.75" customHeight="1">
      <c r="A6" s="570" t="s">
        <v>318</v>
      </c>
      <c r="B6" s="570" t="s">
        <v>319</v>
      </c>
      <c r="C6" s="570" t="s">
        <v>320</v>
      </c>
      <c r="D6" s="570" t="s">
        <v>321</v>
      </c>
      <c r="E6" s="570" t="s">
        <v>322</v>
      </c>
      <c r="F6" s="570" t="s">
        <v>324</v>
      </c>
      <c r="G6" s="570" t="s">
        <v>325</v>
      </c>
      <c r="H6" s="570" t="s">
        <v>326</v>
      </c>
    </row>
    <row r="7" spans="1:8" s="12" customFormat="1" ht="67.5" customHeight="1">
      <c r="A7" s="570"/>
      <c r="B7" s="570"/>
      <c r="C7" s="570"/>
      <c r="D7" s="570"/>
      <c r="E7" s="570"/>
      <c r="F7" s="570"/>
      <c r="G7" s="570"/>
      <c r="H7" s="570"/>
    </row>
    <row r="8" spans="1:8" s="12" customFormat="1" ht="15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</row>
    <row r="9" spans="1:8" s="12" customFormat="1" ht="17.25" customHeight="1">
      <c r="A9" s="75" t="s">
        <v>10</v>
      </c>
      <c r="B9" s="80">
        <v>129</v>
      </c>
      <c r="C9" s="81">
        <v>49.98</v>
      </c>
      <c r="D9" s="81">
        <v>107.37073778822798</v>
      </c>
      <c r="E9" s="80">
        <v>12</v>
      </c>
      <c r="F9" s="82">
        <v>8307.2</v>
      </c>
      <c r="G9" s="82">
        <f aca="true" t="shared" si="0" ref="G9:H17">F9</f>
        <v>8307.2</v>
      </c>
      <c r="H9" s="82">
        <f t="shared" si="0"/>
        <v>8307.2</v>
      </c>
    </row>
    <row r="10" spans="1:8" s="12" customFormat="1" ht="17.25" customHeight="1">
      <c r="A10" s="75" t="s">
        <v>113</v>
      </c>
      <c r="B10" s="80">
        <v>239</v>
      </c>
      <c r="C10" s="81">
        <v>46.55</v>
      </c>
      <c r="D10" s="81">
        <v>121.12165585026399</v>
      </c>
      <c r="E10" s="80">
        <v>12</v>
      </c>
      <c r="F10" s="82">
        <v>16170.4</v>
      </c>
      <c r="G10" s="82">
        <f t="shared" si="0"/>
        <v>16170.4</v>
      </c>
      <c r="H10" s="82">
        <f t="shared" si="0"/>
        <v>16170.4</v>
      </c>
    </row>
    <row r="11" spans="1:8" s="12" customFormat="1" ht="17.25" customHeight="1">
      <c r="A11" s="75" t="s">
        <v>109</v>
      </c>
      <c r="B11" s="80">
        <v>130</v>
      </c>
      <c r="C11" s="81">
        <v>53.39</v>
      </c>
      <c r="D11" s="81">
        <v>108.901997837909</v>
      </c>
      <c r="E11" s="80">
        <v>12</v>
      </c>
      <c r="F11" s="82">
        <v>9070.3</v>
      </c>
      <c r="G11" s="82">
        <f t="shared" si="0"/>
        <v>9070.3</v>
      </c>
      <c r="H11" s="82">
        <f t="shared" si="0"/>
        <v>9070.3</v>
      </c>
    </row>
    <row r="12" spans="1:8" s="12" customFormat="1" ht="17.25" customHeight="1">
      <c r="A12" s="75" t="s">
        <v>116</v>
      </c>
      <c r="B12" s="80">
        <v>63</v>
      </c>
      <c r="C12" s="81">
        <v>42.67</v>
      </c>
      <c r="D12" s="81">
        <v>95.721076565</v>
      </c>
      <c r="E12" s="80">
        <v>12</v>
      </c>
      <c r="F12" s="82">
        <v>3087.8</v>
      </c>
      <c r="G12" s="82">
        <f t="shared" si="0"/>
        <v>3087.8</v>
      </c>
      <c r="H12" s="82">
        <f t="shared" si="0"/>
        <v>3087.8</v>
      </c>
    </row>
    <row r="13" spans="1:8" s="12" customFormat="1" ht="17.25" customHeight="1">
      <c r="A13" s="75" t="s">
        <v>112</v>
      </c>
      <c r="B13" s="80">
        <v>71</v>
      </c>
      <c r="C13" s="81">
        <v>59.21</v>
      </c>
      <c r="D13" s="81">
        <v>122.96072391500002</v>
      </c>
      <c r="E13" s="80">
        <v>12</v>
      </c>
      <c r="F13" s="82">
        <v>6203</v>
      </c>
      <c r="G13" s="82">
        <f t="shared" si="0"/>
        <v>6203</v>
      </c>
      <c r="H13" s="82">
        <f t="shared" si="0"/>
        <v>6203</v>
      </c>
    </row>
    <row r="14" spans="1:8" s="12" customFormat="1" ht="17.25" customHeight="1">
      <c r="A14" s="75" t="s">
        <v>117</v>
      </c>
      <c r="B14" s="80">
        <v>138</v>
      </c>
      <c r="C14" s="81">
        <v>47.85</v>
      </c>
      <c r="D14" s="81">
        <v>105.259732023</v>
      </c>
      <c r="E14" s="80">
        <v>12</v>
      </c>
      <c r="F14" s="82">
        <v>8340.7</v>
      </c>
      <c r="G14" s="82">
        <f t="shared" si="0"/>
        <v>8340.7</v>
      </c>
      <c r="H14" s="82">
        <f t="shared" si="0"/>
        <v>8340.7</v>
      </c>
    </row>
    <row r="15" spans="1:8" s="12" customFormat="1" ht="17.25" customHeight="1">
      <c r="A15" s="75" t="s">
        <v>118</v>
      </c>
      <c r="B15" s="80">
        <v>107</v>
      </c>
      <c r="C15" s="81">
        <v>49.48</v>
      </c>
      <c r="D15" s="81">
        <v>113.498530625</v>
      </c>
      <c r="E15" s="80">
        <v>12</v>
      </c>
      <c r="F15" s="82">
        <v>7210.8</v>
      </c>
      <c r="G15" s="82">
        <f t="shared" si="0"/>
        <v>7210.8</v>
      </c>
      <c r="H15" s="82">
        <f t="shared" si="0"/>
        <v>7210.8</v>
      </c>
    </row>
    <row r="16" spans="1:8" s="12" customFormat="1" ht="17.25" customHeight="1">
      <c r="A16" s="75" t="s">
        <v>119</v>
      </c>
      <c r="B16" s="80">
        <v>195</v>
      </c>
      <c r="C16" s="81">
        <v>55.71</v>
      </c>
      <c r="D16" s="81">
        <v>111.83547847100002</v>
      </c>
      <c r="E16" s="80">
        <v>12</v>
      </c>
      <c r="F16" s="82">
        <v>14579</v>
      </c>
      <c r="G16" s="82">
        <f t="shared" si="0"/>
        <v>14579</v>
      </c>
      <c r="H16" s="82">
        <f t="shared" si="0"/>
        <v>14579</v>
      </c>
    </row>
    <row r="17" spans="1:8" ht="17.25" customHeight="1">
      <c r="A17" s="75" t="s">
        <v>120</v>
      </c>
      <c r="B17" s="80">
        <v>184</v>
      </c>
      <c r="C17" s="81">
        <v>52.92</v>
      </c>
      <c r="D17" s="81">
        <v>118.726631362</v>
      </c>
      <c r="E17" s="80">
        <v>12</v>
      </c>
      <c r="F17" s="82">
        <v>13872.9</v>
      </c>
      <c r="G17" s="82">
        <f t="shared" si="0"/>
        <v>13872.9</v>
      </c>
      <c r="H17" s="82">
        <f t="shared" si="0"/>
        <v>13872.9</v>
      </c>
    </row>
    <row r="18" spans="1:8" s="500" customFormat="1" ht="15.75" customHeight="1">
      <c r="A18" s="496" t="s">
        <v>295</v>
      </c>
      <c r="B18" s="497">
        <f>SUM(B9:B17)</f>
        <v>1256</v>
      </c>
      <c r="C18" s="498"/>
      <c r="D18" s="498"/>
      <c r="E18" s="498"/>
      <c r="F18" s="499">
        <f>SUM(F9:F17)</f>
        <v>86842.09999999999</v>
      </c>
      <c r="G18" s="499">
        <f>SUM(G9:G17)</f>
        <v>86842.09999999999</v>
      </c>
      <c r="H18" s="499">
        <f>SUM(H9:H17)</f>
        <v>86842.09999999999</v>
      </c>
    </row>
  </sheetData>
  <sheetProtection/>
  <mergeCells count="10">
    <mergeCell ref="G6:G7"/>
    <mergeCell ref="H6:H7"/>
    <mergeCell ref="A2:H2"/>
    <mergeCell ref="A1:H1"/>
    <mergeCell ref="A6:A7"/>
    <mergeCell ref="B6:B7"/>
    <mergeCell ref="C6:C7"/>
    <mergeCell ref="D6:D7"/>
    <mergeCell ref="E6:E7"/>
    <mergeCell ref="F6:F7"/>
  </mergeCells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H27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3.625" style="0" customWidth="1"/>
    <col min="2" max="2" width="20.125" style="0" customWidth="1"/>
    <col min="3" max="3" width="32.625" style="0" customWidth="1"/>
    <col min="4" max="4" width="13.875" style="0" customWidth="1"/>
    <col min="5" max="5" width="12.25390625" style="0" customWidth="1"/>
    <col min="6" max="6" width="14.875" style="0" customWidth="1"/>
    <col min="7" max="7" width="17.75390625" style="0" customWidth="1"/>
  </cols>
  <sheetData>
    <row r="4" spans="1:6" ht="141.75" customHeight="1">
      <c r="A4" s="578" t="s">
        <v>590</v>
      </c>
      <c r="B4" s="578"/>
      <c r="C4" s="578"/>
      <c r="D4" s="578"/>
      <c r="E4" s="578"/>
      <c r="F4" s="578"/>
    </row>
    <row r="7" ht="12.75">
      <c r="F7" t="s">
        <v>30</v>
      </c>
    </row>
    <row r="8" spans="1:6" ht="33.75" customHeight="1">
      <c r="A8" s="579" t="s">
        <v>318</v>
      </c>
      <c r="B8" s="580" t="s">
        <v>492</v>
      </c>
      <c r="C8" s="580" t="s">
        <v>591</v>
      </c>
      <c r="D8" s="581" t="s">
        <v>494</v>
      </c>
      <c r="E8" s="583" t="s">
        <v>287</v>
      </c>
      <c r="F8" s="583" t="s">
        <v>328</v>
      </c>
    </row>
    <row r="9" spans="1:6" ht="90" customHeight="1">
      <c r="A9" s="579"/>
      <c r="B9" s="580"/>
      <c r="C9" s="580"/>
      <c r="D9" s="582"/>
      <c r="E9" s="583"/>
      <c r="F9" s="583"/>
    </row>
    <row r="10" spans="1:6" ht="15.75">
      <c r="A10" s="501">
        <v>1</v>
      </c>
      <c r="B10" s="501">
        <v>2</v>
      </c>
      <c r="C10" s="501">
        <v>3</v>
      </c>
      <c r="D10" s="502">
        <v>4</v>
      </c>
      <c r="E10" s="503"/>
      <c r="F10" s="503"/>
    </row>
    <row r="11" spans="1:6" ht="15.75">
      <c r="A11" s="504" t="s">
        <v>592</v>
      </c>
      <c r="B11" s="505">
        <v>19321.4</v>
      </c>
      <c r="C11" s="505">
        <v>1739</v>
      </c>
      <c r="D11" s="506">
        <f>B11-C11</f>
        <v>17582.4</v>
      </c>
      <c r="E11" s="506">
        <v>0</v>
      </c>
      <c r="F11" s="503">
        <v>0</v>
      </c>
    </row>
    <row r="12" spans="1:6" ht="15.75">
      <c r="A12" s="507" t="s">
        <v>12</v>
      </c>
      <c r="B12" s="401"/>
      <c r="C12" s="401"/>
      <c r="D12" s="508"/>
      <c r="E12" s="508"/>
      <c r="F12" s="508"/>
    </row>
    <row r="13" spans="1:3" ht="15.75">
      <c r="A13" s="509"/>
      <c r="B13" s="510"/>
      <c r="C13" s="510"/>
    </row>
    <row r="15" spans="1:7" ht="20.25" customHeight="1">
      <c r="A15" s="573" t="s">
        <v>593</v>
      </c>
      <c r="B15" s="574"/>
      <c r="C15" s="574"/>
      <c r="D15" s="574"/>
      <c r="E15" s="574"/>
      <c r="F15" s="574"/>
      <c r="G15" s="574"/>
    </row>
    <row r="16" ht="32.25" customHeight="1">
      <c r="A16" s="511" t="s">
        <v>594</v>
      </c>
    </row>
    <row r="17" ht="18.75">
      <c r="A17" s="512" t="s">
        <v>595</v>
      </c>
    </row>
    <row r="18" spans="1:6" ht="87.75" customHeight="1">
      <c r="A18" s="575" t="s">
        <v>596</v>
      </c>
      <c r="B18" s="576"/>
      <c r="C18" s="576"/>
      <c r="D18" s="576"/>
      <c r="E18" s="576"/>
      <c r="F18" s="576"/>
    </row>
    <row r="19" spans="1:7" ht="53.25" customHeight="1">
      <c r="A19" s="575" t="s">
        <v>597</v>
      </c>
      <c r="B19" s="576"/>
      <c r="C19" s="576"/>
      <c r="D19" s="576"/>
      <c r="E19" s="576"/>
      <c r="F19" s="576"/>
      <c r="G19" s="576"/>
    </row>
    <row r="20" spans="1:8" ht="100.5" customHeight="1">
      <c r="A20" s="577" t="s">
        <v>598</v>
      </c>
      <c r="B20" s="577"/>
      <c r="C20" s="577"/>
      <c r="D20" s="577"/>
      <c r="E20" s="577"/>
      <c r="F20" s="577"/>
      <c r="G20" s="577"/>
      <c r="H20" s="513"/>
    </row>
    <row r="22" spans="1:2" ht="15">
      <c r="A22" s="449"/>
      <c r="B22" s="514"/>
    </row>
    <row r="23" spans="1:2" ht="15">
      <c r="A23" s="449"/>
      <c r="B23" s="514"/>
    </row>
    <row r="24" spans="1:2" ht="15">
      <c r="A24" s="449"/>
      <c r="B24" s="515"/>
    </row>
    <row r="25" spans="1:2" ht="15">
      <c r="A25" s="449"/>
      <c r="B25" s="514"/>
    </row>
    <row r="26" spans="1:2" ht="15">
      <c r="A26" s="449"/>
      <c r="B26" s="516"/>
    </row>
    <row r="27" spans="1:2" ht="12.75">
      <c r="A27" s="449"/>
      <c r="B27" s="449"/>
    </row>
  </sheetData>
  <sheetProtection/>
  <mergeCells count="11">
    <mergeCell ref="F8:F9"/>
    <mergeCell ref="A15:G15"/>
    <mergeCell ref="A18:F18"/>
    <mergeCell ref="A19:G19"/>
    <mergeCell ref="A20:G20"/>
    <mergeCell ref="A4:F4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20"/>
  <sheetViews>
    <sheetView zoomScaleSheetLayoutView="87" zoomScalePageLayoutView="0" workbookViewId="0" topLeftCell="A4">
      <selection activeCell="C22" sqref="C22"/>
    </sheetView>
  </sheetViews>
  <sheetFormatPr defaultColWidth="9.00390625" defaultRowHeight="12.75"/>
  <cols>
    <col min="1" max="1" width="34.875" style="199" customWidth="1"/>
    <col min="2" max="2" width="21.00390625" style="199" customWidth="1"/>
    <col min="3" max="3" width="20.125" style="199" customWidth="1"/>
    <col min="4" max="4" width="10.875" style="199" customWidth="1"/>
    <col min="5" max="5" width="15.75390625" style="199" customWidth="1"/>
    <col min="6" max="6" width="11.625" style="199" customWidth="1"/>
    <col min="7" max="7" width="15.875" style="199" customWidth="1"/>
    <col min="8" max="8" width="15.375" style="199" customWidth="1"/>
    <col min="9" max="9" width="11.00390625" style="199" customWidth="1"/>
    <col min="10" max="10" width="15.75390625" style="199" customWidth="1"/>
    <col min="11" max="13" width="17.875" style="199" customWidth="1"/>
    <col min="14" max="16384" width="9.125" style="199" customWidth="1"/>
  </cols>
  <sheetData>
    <row r="1" spans="1:28" ht="15.75">
      <c r="A1" s="593" t="s">
        <v>102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33" customHeight="1">
      <c r="A2" s="539" t="s">
        <v>344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5" ht="15.75">
      <c r="M5" s="205" t="s">
        <v>30</v>
      </c>
    </row>
    <row r="6" spans="1:13" s="200" customFormat="1" ht="47.25" customHeight="1">
      <c r="A6" s="594" t="s">
        <v>304</v>
      </c>
      <c r="B6" s="584" t="s">
        <v>332</v>
      </c>
      <c r="C6" s="585"/>
      <c r="D6" s="586"/>
      <c r="E6" s="598" t="s">
        <v>333</v>
      </c>
      <c r="F6" s="599"/>
      <c r="G6" s="599"/>
      <c r="H6" s="599"/>
      <c r="I6" s="599"/>
      <c r="J6" s="600"/>
      <c r="K6" s="597" t="s">
        <v>334</v>
      </c>
      <c r="L6" s="597" t="s">
        <v>335</v>
      </c>
      <c r="M6" s="597" t="s">
        <v>336</v>
      </c>
    </row>
    <row r="7" spans="1:13" s="200" customFormat="1" ht="35.25" customHeight="1" hidden="1">
      <c r="A7" s="595"/>
      <c r="B7" s="587"/>
      <c r="C7" s="588"/>
      <c r="D7" s="589"/>
      <c r="E7" s="598" t="s">
        <v>337</v>
      </c>
      <c r="F7" s="599"/>
      <c r="G7" s="600"/>
      <c r="H7" s="598" t="s">
        <v>338</v>
      </c>
      <c r="I7" s="599"/>
      <c r="J7" s="600"/>
      <c r="K7" s="597"/>
      <c r="L7" s="597"/>
      <c r="M7" s="597"/>
    </row>
    <row r="8" spans="1:13" s="200" customFormat="1" ht="35.25" customHeight="1">
      <c r="A8" s="595"/>
      <c r="B8" s="590"/>
      <c r="C8" s="591"/>
      <c r="D8" s="592"/>
      <c r="E8" s="598" t="s">
        <v>337</v>
      </c>
      <c r="F8" s="599"/>
      <c r="G8" s="600"/>
      <c r="H8" s="598" t="s">
        <v>338</v>
      </c>
      <c r="I8" s="599"/>
      <c r="J8" s="600"/>
      <c r="K8" s="597"/>
      <c r="L8" s="597"/>
      <c r="M8" s="597"/>
    </row>
    <row r="9" spans="1:13" s="200" customFormat="1" ht="72.75" customHeight="1">
      <c r="A9" s="596"/>
      <c r="B9" s="69" t="s">
        <v>337</v>
      </c>
      <c r="C9" s="69" t="s">
        <v>338</v>
      </c>
      <c r="D9" s="69" t="s">
        <v>12</v>
      </c>
      <c r="E9" s="68" t="s">
        <v>147</v>
      </c>
      <c r="F9" s="68" t="s">
        <v>148</v>
      </c>
      <c r="G9" s="69" t="s">
        <v>339</v>
      </c>
      <c r="H9" s="68" t="s">
        <v>147</v>
      </c>
      <c r="I9" s="68" t="s">
        <v>148</v>
      </c>
      <c r="J9" s="69" t="s">
        <v>340</v>
      </c>
      <c r="K9" s="597"/>
      <c r="L9" s="597"/>
      <c r="M9" s="597"/>
    </row>
    <row r="10" spans="1:13" ht="15.75">
      <c r="A10" s="66" t="s">
        <v>10</v>
      </c>
      <c r="B10" s="201">
        <v>5257</v>
      </c>
      <c r="C10" s="201">
        <v>928</v>
      </c>
      <c r="D10" s="201">
        <f aca="true" t="shared" si="0" ref="D10:D20">B10+C10</f>
        <v>6185</v>
      </c>
      <c r="E10" s="202">
        <v>120.26</v>
      </c>
      <c r="F10" s="202">
        <v>7.83</v>
      </c>
      <c r="G10" s="202">
        <f>E10+F10</f>
        <v>128.09</v>
      </c>
      <c r="H10" s="202">
        <v>177.99</v>
      </c>
      <c r="I10" s="202">
        <v>8.26</v>
      </c>
      <c r="J10" s="202">
        <f>H10+I10</f>
        <v>186.25</v>
      </c>
      <c r="K10" s="206">
        <v>841210.1</v>
      </c>
      <c r="L10" s="206">
        <v>887200.1</v>
      </c>
      <c r="M10" s="206">
        <f>L10</f>
        <v>887200.1</v>
      </c>
    </row>
    <row r="11" spans="1:13" ht="15.75">
      <c r="A11" s="203" t="s">
        <v>341</v>
      </c>
      <c r="B11" s="201">
        <v>519</v>
      </c>
      <c r="C11" s="201"/>
      <c r="D11" s="201">
        <f t="shared" si="0"/>
        <v>519</v>
      </c>
      <c r="E11" s="202">
        <v>166.22</v>
      </c>
      <c r="F11" s="202">
        <v>9.05</v>
      </c>
      <c r="G11" s="202">
        <f aca="true" t="shared" si="1" ref="G11:G18">E11+F11</f>
        <v>175.27</v>
      </c>
      <c r="H11" s="202"/>
      <c r="I11" s="202"/>
      <c r="J11" s="202"/>
      <c r="K11" s="206">
        <v>90965.1</v>
      </c>
      <c r="L11" s="206">
        <v>95896.5</v>
      </c>
      <c r="M11" s="206">
        <f aca="true" t="shared" si="2" ref="M11:M18">L11</f>
        <v>95896.5</v>
      </c>
    </row>
    <row r="12" spans="1:13" ht="15.75">
      <c r="A12" s="13" t="s">
        <v>109</v>
      </c>
      <c r="B12" s="201">
        <v>354</v>
      </c>
      <c r="C12" s="201"/>
      <c r="D12" s="201">
        <f t="shared" si="0"/>
        <v>354</v>
      </c>
      <c r="E12" s="202">
        <v>166.22</v>
      </c>
      <c r="F12" s="202">
        <v>9.05</v>
      </c>
      <c r="G12" s="202">
        <f t="shared" si="1"/>
        <v>175.27</v>
      </c>
      <c r="H12" s="202"/>
      <c r="I12" s="202"/>
      <c r="J12" s="202"/>
      <c r="K12" s="206">
        <v>62045.6</v>
      </c>
      <c r="L12" s="206">
        <v>65409.2</v>
      </c>
      <c r="M12" s="206">
        <f t="shared" si="2"/>
        <v>65409.2</v>
      </c>
    </row>
    <row r="13" spans="1:13" ht="15.75">
      <c r="A13" s="203" t="s">
        <v>116</v>
      </c>
      <c r="B13" s="201">
        <v>159</v>
      </c>
      <c r="C13" s="201"/>
      <c r="D13" s="201">
        <f t="shared" si="0"/>
        <v>159</v>
      </c>
      <c r="E13" s="202">
        <v>179.52</v>
      </c>
      <c r="F13" s="202">
        <v>10.06</v>
      </c>
      <c r="G13" s="202">
        <f t="shared" si="1"/>
        <v>189.58</v>
      </c>
      <c r="H13" s="202"/>
      <c r="I13" s="202"/>
      <c r="J13" s="202"/>
      <c r="K13" s="206">
        <v>30143.2</v>
      </c>
      <c r="L13" s="206">
        <v>31777.3</v>
      </c>
      <c r="M13" s="206">
        <f t="shared" si="2"/>
        <v>31777.3</v>
      </c>
    </row>
    <row r="14" spans="1:13" ht="15.75">
      <c r="A14" s="203" t="s">
        <v>112</v>
      </c>
      <c r="B14" s="201">
        <v>154</v>
      </c>
      <c r="C14" s="201"/>
      <c r="D14" s="201">
        <f t="shared" si="0"/>
        <v>154</v>
      </c>
      <c r="E14" s="202">
        <v>166.22</v>
      </c>
      <c r="F14" s="202">
        <v>9.05</v>
      </c>
      <c r="G14" s="202">
        <f t="shared" si="1"/>
        <v>175.27</v>
      </c>
      <c r="H14" s="202"/>
      <c r="I14" s="202"/>
      <c r="J14" s="202"/>
      <c r="K14" s="206">
        <v>26991.6</v>
      </c>
      <c r="L14" s="206">
        <v>28454.9</v>
      </c>
      <c r="M14" s="206">
        <f t="shared" si="2"/>
        <v>28454.9</v>
      </c>
    </row>
    <row r="15" spans="1:13" ht="15.75">
      <c r="A15" s="203" t="s">
        <v>342</v>
      </c>
      <c r="B15" s="201">
        <v>347</v>
      </c>
      <c r="C15" s="201"/>
      <c r="D15" s="201">
        <f t="shared" si="0"/>
        <v>347</v>
      </c>
      <c r="E15" s="202">
        <v>166.22</v>
      </c>
      <c r="F15" s="202">
        <v>9.05</v>
      </c>
      <c r="G15" s="202">
        <f t="shared" si="1"/>
        <v>175.27</v>
      </c>
      <c r="H15" s="202"/>
      <c r="I15" s="202"/>
      <c r="J15" s="202"/>
      <c r="K15" s="206">
        <v>60818.7</v>
      </c>
      <c r="L15" s="206">
        <v>64115.8</v>
      </c>
      <c r="M15" s="206">
        <f t="shared" si="2"/>
        <v>64115.8</v>
      </c>
    </row>
    <row r="16" spans="1:13" ht="15.75">
      <c r="A16" s="203" t="s">
        <v>343</v>
      </c>
      <c r="B16" s="201">
        <v>207</v>
      </c>
      <c r="C16" s="201"/>
      <c r="D16" s="201">
        <f t="shared" si="0"/>
        <v>207</v>
      </c>
      <c r="E16" s="202">
        <v>166.22</v>
      </c>
      <c r="F16" s="202">
        <v>9.05</v>
      </c>
      <c r="G16" s="202">
        <f t="shared" si="1"/>
        <v>175.27</v>
      </c>
      <c r="H16" s="202"/>
      <c r="I16" s="202"/>
      <c r="J16" s="202"/>
      <c r="K16" s="206">
        <v>36280.9</v>
      </c>
      <c r="L16" s="206">
        <v>38247.8</v>
      </c>
      <c r="M16" s="206">
        <f t="shared" si="2"/>
        <v>38247.8</v>
      </c>
    </row>
    <row r="17" spans="1:13" ht="15.75">
      <c r="A17" s="203" t="s">
        <v>119</v>
      </c>
      <c r="B17" s="201">
        <v>441</v>
      </c>
      <c r="C17" s="201"/>
      <c r="D17" s="201">
        <f t="shared" si="0"/>
        <v>441</v>
      </c>
      <c r="E17" s="202">
        <v>166.22</v>
      </c>
      <c r="F17" s="202">
        <v>9.05</v>
      </c>
      <c r="G17" s="202">
        <f t="shared" si="1"/>
        <v>175.27</v>
      </c>
      <c r="H17" s="202"/>
      <c r="I17" s="202"/>
      <c r="J17" s="202"/>
      <c r="K17" s="206">
        <v>77294.1</v>
      </c>
      <c r="L17" s="206">
        <v>81484.4</v>
      </c>
      <c r="M17" s="206">
        <f t="shared" si="2"/>
        <v>81484.4</v>
      </c>
    </row>
    <row r="18" spans="1:13" ht="15.75">
      <c r="A18" s="203" t="s">
        <v>120</v>
      </c>
      <c r="B18" s="201">
        <v>486</v>
      </c>
      <c r="C18" s="201"/>
      <c r="D18" s="201">
        <f t="shared" si="0"/>
        <v>486</v>
      </c>
      <c r="E18" s="202">
        <v>166.22</v>
      </c>
      <c r="F18" s="202">
        <v>9.05</v>
      </c>
      <c r="G18" s="202">
        <f t="shared" si="1"/>
        <v>175.27</v>
      </c>
      <c r="H18" s="202"/>
      <c r="I18" s="202"/>
      <c r="J18" s="202"/>
      <c r="K18" s="206">
        <v>85181.2</v>
      </c>
      <c r="L18" s="206">
        <v>89799.1</v>
      </c>
      <c r="M18" s="206">
        <f t="shared" si="2"/>
        <v>89799.1</v>
      </c>
    </row>
    <row r="19" spans="1:13" ht="15.75">
      <c r="A19" s="203" t="s">
        <v>555</v>
      </c>
      <c r="B19" s="460"/>
      <c r="C19" s="460"/>
      <c r="D19" s="460"/>
      <c r="E19" s="202"/>
      <c r="F19" s="202"/>
      <c r="G19" s="202"/>
      <c r="H19" s="202"/>
      <c r="I19" s="202"/>
      <c r="J19" s="202"/>
      <c r="K19" s="459">
        <v>67754.2</v>
      </c>
      <c r="L19" s="459"/>
      <c r="M19" s="459"/>
    </row>
    <row r="20" spans="1:13" ht="18.75" customHeight="1">
      <c r="A20" s="66" t="s">
        <v>12</v>
      </c>
      <c r="B20" s="201">
        <f>SUM(B10:B18)</f>
        <v>7924</v>
      </c>
      <c r="C20" s="201">
        <f>SUM(C10:C18)</f>
        <v>928</v>
      </c>
      <c r="D20" s="201">
        <f t="shared" si="0"/>
        <v>8852</v>
      </c>
      <c r="E20" s="202" t="s">
        <v>345</v>
      </c>
      <c r="F20" s="202" t="s">
        <v>345</v>
      </c>
      <c r="G20" s="202" t="s">
        <v>345</v>
      </c>
      <c r="H20" s="202" t="s">
        <v>345</v>
      </c>
      <c r="I20" s="202" t="s">
        <v>345</v>
      </c>
      <c r="J20" s="202" t="s">
        <v>345</v>
      </c>
      <c r="K20" s="206">
        <f>SUM(K10:K19)</f>
        <v>1378684.6999999997</v>
      </c>
      <c r="L20" s="206">
        <f>SUM(L10:L18)</f>
        <v>1382385.0999999999</v>
      </c>
      <c r="M20" s="206">
        <f>SUM(M10:M18)</f>
        <v>1382385.0999999999</v>
      </c>
    </row>
  </sheetData>
  <sheetProtection/>
  <mergeCells count="12">
    <mergeCell ref="E8:G8"/>
    <mergeCell ref="H8:J8"/>
    <mergeCell ref="B6:D8"/>
    <mergeCell ref="A1:M1"/>
    <mergeCell ref="A2:M2"/>
    <mergeCell ref="A6:A9"/>
    <mergeCell ref="K6:K9"/>
    <mergeCell ref="E6:J6"/>
    <mergeCell ref="L6:L9"/>
    <mergeCell ref="M6:M9"/>
    <mergeCell ref="E7:G7"/>
    <mergeCell ref="H7:J7"/>
  </mergeCells>
  <printOptions horizontalCentered="1"/>
  <pageMargins left="0.1968503937007874" right="0.1968503937007874" top="0.6692913385826772" bottom="0.31496062992125984" header="0.31496062992125984" footer="0.31496062992125984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36"/>
  <sheetViews>
    <sheetView zoomScaleSheetLayoutView="69" zoomScalePageLayoutView="0" workbookViewId="0" topLeftCell="A19">
      <selection activeCell="B29" sqref="B29:C29"/>
    </sheetView>
  </sheetViews>
  <sheetFormatPr defaultColWidth="9.00390625" defaultRowHeight="12.75"/>
  <cols>
    <col min="1" max="1" width="36.00390625" style="199" customWidth="1"/>
    <col min="2" max="2" width="9.00390625" style="199" customWidth="1"/>
    <col min="3" max="3" width="7.875" style="199" customWidth="1"/>
    <col min="4" max="4" width="11.75390625" style="199" customWidth="1"/>
    <col min="5" max="5" width="10.125" style="199" customWidth="1"/>
    <col min="6" max="6" width="8.00390625" style="199" customWidth="1"/>
    <col min="7" max="7" width="12.00390625" style="199" customWidth="1"/>
    <col min="8" max="8" width="9.00390625" style="199" customWidth="1"/>
    <col min="9" max="9" width="9.625" style="199" customWidth="1"/>
    <col min="10" max="10" width="12.00390625" style="199" customWidth="1"/>
    <col min="11" max="11" width="9.375" style="199" customWidth="1"/>
    <col min="12" max="12" width="13.125" style="199" customWidth="1"/>
    <col min="13" max="13" width="12.00390625" style="72" customWidth="1"/>
    <col min="14" max="14" width="9.625" style="199" customWidth="1"/>
    <col min="15" max="15" width="8.875" style="199" customWidth="1"/>
    <col min="16" max="16" width="12.125" style="199" customWidth="1"/>
    <col min="17" max="17" width="9.625" style="199" customWidth="1"/>
    <col min="18" max="18" width="8.875" style="199" customWidth="1"/>
    <col min="19" max="19" width="15.75390625" style="199" customWidth="1"/>
    <col min="20" max="22" width="17.875" style="199" customWidth="1"/>
    <col min="23" max="16384" width="9.125" style="199" customWidth="1"/>
  </cols>
  <sheetData>
    <row r="1" spans="1:37" ht="15.75">
      <c r="A1" s="593" t="s">
        <v>102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48" customHeight="1">
      <c r="A2" s="539" t="s">
        <v>354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207"/>
      <c r="U2" s="207"/>
      <c r="V2" s="207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5" ht="15.75">
      <c r="S5" s="205" t="s">
        <v>30</v>
      </c>
    </row>
    <row r="6" spans="1:19" s="200" customFormat="1" ht="47.25" customHeight="1">
      <c r="A6" s="606" t="s">
        <v>304</v>
      </c>
      <c r="B6" s="598" t="s">
        <v>352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600"/>
    </row>
    <row r="7" spans="1:19" s="200" customFormat="1" ht="35.25" customHeight="1" hidden="1">
      <c r="A7" s="607"/>
      <c r="B7" s="598" t="s">
        <v>337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600"/>
      <c r="Q7" s="598" t="s">
        <v>338</v>
      </c>
      <c r="R7" s="599"/>
      <c r="S7" s="600"/>
    </row>
    <row r="8" spans="1:19" s="200" customFormat="1" ht="58.5" customHeight="1">
      <c r="A8" s="607"/>
      <c r="B8" s="598" t="s">
        <v>347</v>
      </c>
      <c r="C8" s="599"/>
      <c r="D8" s="600"/>
      <c r="E8" s="598" t="s">
        <v>348</v>
      </c>
      <c r="F8" s="599"/>
      <c r="G8" s="599"/>
      <c r="H8" s="598" t="s">
        <v>349</v>
      </c>
      <c r="I8" s="599"/>
      <c r="J8" s="600"/>
      <c r="K8" s="609" t="s">
        <v>350</v>
      </c>
      <c r="L8" s="610"/>
      <c r="M8" s="610"/>
      <c r="N8" s="609" t="s">
        <v>351</v>
      </c>
      <c r="O8" s="610"/>
      <c r="P8" s="611"/>
      <c r="Q8" s="598" t="s">
        <v>353</v>
      </c>
      <c r="R8" s="599"/>
      <c r="S8" s="600"/>
    </row>
    <row r="9" spans="1:19" s="200" customFormat="1" ht="99" customHeight="1">
      <c r="A9" s="608"/>
      <c r="B9" s="68" t="s">
        <v>147</v>
      </c>
      <c r="C9" s="68" t="s">
        <v>148</v>
      </c>
      <c r="D9" s="69" t="s">
        <v>339</v>
      </c>
      <c r="E9" s="68" t="s">
        <v>147</v>
      </c>
      <c r="F9" s="68" t="s">
        <v>148</v>
      </c>
      <c r="G9" s="69" t="s">
        <v>339</v>
      </c>
      <c r="H9" s="68" t="s">
        <v>147</v>
      </c>
      <c r="I9" s="68" t="s">
        <v>148</v>
      </c>
      <c r="J9" s="69" t="s">
        <v>339</v>
      </c>
      <c r="K9" s="68" t="s">
        <v>147</v>
      </c>
      <c r="L9" s="68" t="s">
        <v>148</v>
      </c>
      <c r="M9" s="69" t="s">
        <v>339</v>
      </c>
      <c r="N9" s="68" t="s">
        <v>147</v>
      </c>
      <c r="O9" s="68" t="s">
        <v>148</v>
      </c>
      <c r="P9" s="69" t="s">
        <v>339</v>
      </c>
      <c r="Q9" s="68" t="s">
        <v>147</v>
      </c>
      <c r="R9" s="68" t="s">
        <v>148</v>
      </c>
      <c r="S9" s="69" t="s">
        <v>340</v>
      </c>
    </row>
    <row r="10" spans="1:19" ht="16.5" customHeight="1">
      <c r="A10" s="71" t="s">
        <v>10</v>
      </c>
      <c r="B10" s="202">
        <v>113.4</v>
      </c>
      <c r="C10" s="202">
        <v>4.94</v>
      </c>
      <c r="D10" s="202">
        <f>B10+C10</f>
        <v>118.34</v>
      </c>
      <c r="E10" s="202">
        <v>99.86</v>
      </c>
      <c r="F10" s="202">
        <v>3.08</v>
      </c>
      <c r="G10" s="202">
        <f>E10+F10</f>
        <v>102.94</v>
      </c>
      <c r="H10" s="202">
        <v>135</v>
      </c>
      <c r="I10" s="202">
        <v>10.8</v>
      </c>
      <c r="J10" s="202">
        <f>H10+I10</f>
        <v>145.8</v>
      </c>
      <c r="K10" s="202">
        <v>73.77</v>
      </c>
      <c r="L10" s="202">
        <v>2.22</v>
      </c>
      <c r="M10" s="202">
        <f>K10+L10</f>
        <v>75.99</v>
      </c>
      <c r="N10" s="202">
        <v>217.77</v>
      </c>
      <c r="O10" s="202">
        <v>6.52</v>
      </c>
      <c r="P10" s="202">
        <f>N10+O10</f>
        <v>224.29000000000002</v>
      </c>
      <c r="Q10" s="202"/>
      <c r="R10" s="202"/>
      <c r="S10" s="202"/>
    </row>
    <row r="11" spans="1:19" ht="16.5" customHeight="1">
      <c r="A11" s="204" t="s">
        <v>113</v>
      </c>
      <c r="B11" s="202">
        <v>123.55</v>
      </c>
      <c r="C11" s="202">
        <v>4.94</v>
      </c>
      <c r="D11" s="202">
        <f aca="true" t="shared" si="0" ref="D11:D18">B11+C11</f>
        <v>128.49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ht="16.5" customHeight="1">
      <c r="A12" s="209" t="s">
        <v>109</v>
      </c>
      <c r="B12" s="202">
        <v>123.55</v>
      </c>
      <c r="C12" s="202">
        <v>4.94</v>
      </c>
      <c r="D12" s="202">
        <f t="shared" si="0"/>
        <v>128.49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ht="16.5" customHeight="1">
      <c r="A13" s="204" t="s">
        <v>116</v>
      </c>
      <c r="B13" s="202">
        <v>123.55</v>
      </c>
      <c r="C13" s="202">
        <v>4.94</v>
      </c>
      <c r="D13" s="202">
        <f t="shared" si="0"/>
        <v>128.49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>
        <v>190.53</v>
      </c>
      <c r="R13" s="202">
        <v>7.62</v>
      </c>
      <c r="S13" s="202">
        <f>Q13+R13</f>
        <v>198.15</v>
      </c>
    </row>
    <row r="14" spans="1:19" ht="16.5" customHeight="1">
      <c r="A14" s="204" t="s">
        <v>112</v>
      </c>
      <c r="B14" s="202">
        <v>123.55</v>
      </c>
      <c r="C14" s="202">
        <v>4.94</v>
      </c>
      <c r="D14" s="202">
        <f t="shared" si="0"/>
        <v>128.49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</row>
    <row r="15" spans="1:19" ht="16.5" customHeight="1">
      <c r="A15" s="204" t="s">
        <v>342</v>
      </c>
      <c r="B15" s="202">
        <v>123.55</v>
      </c>
      <c r="C15" s="202">
        <v>4.94</v>
      </c>
      <c r="D15" s="202">
        <f t="shared" si="0"/>
        <v>128.49</v>
      </c>
      <c r="E15" s="202">
        <v>188.71</v>
      </c>
      <c r="F15" s="202">
        <v>6.86</v>
      </c>
      <c r="G15" s="202">
        <f>E15+F15</f>
        <v>195.57000000000002</v>
      </c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</row>
    <row r="16" spans="1:19" ht="16.5" customHeight="1">
      <c r="A16" s="204" t="s">
        <v>118</v>
      </c>
      <c r="B16" s="202">
        <v>123.55</v>
      </c>
      <c r="C16" s="202">
        <v>4.94</v>
      </c>
      <c r="D16" s="202">
        <f t="shared" si="0"/>
        <v>128.49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</row>
    <row r="17" spans="1:19" ht="16.5" customHeight="1">
      <c r="A17" s="204" t="s">
        <v>119</v>
      </c>
      <c r="B17" s="202">
        <v>123.55</v>
      </c>
      <c r="C17" s="202">
        <v>4.94</v>
      </c>
      <c r="D17" s="202">
        <f t="shared" si="0"/>
        <v>128.49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ht="16.5" customHeight="1">
      <c r="A18" s="204" t="s">
        <v>120</v>
      </c>
      <c r="B18" s="202">
        <v>123.55</v>
      </c>
      <c r="C18" s="202">
        <v>4.94</v>
      </c>
      <c r="D18" s="202">
        <f t="shared" si="0"/>
        <v>128.49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</row>
    <row r="19" spans="1:19" ht="16.5" customHeight="1">
      <c r="A19" s="66" t="s">
        <v>12</v>
      </c>
      <c r="B19" s="202" t="s">
        <v>345</v>
      </c>
      <c r="C19" s="202" t="s">
        <v>345</v>
      </c>
      <c r="D19" s="202" t="s">
        <v>345</v>
      </c>
      <c r="E19" s="202" t="s">
        <v>345</v>
      </c>
      <c r="F19" s="202" t="s">
        <v>345</v>
      </c>
      <c r="G19" s="202" t="s">
        <v>345</v>
      </c>
      <c r="H19" s="202" t="s">
        <v>345</v>
      </c>
      <c r="I19" s="202" t="s">
        <v>345</v>
      </c>
      <c r="J19" s="202" t="s">
        <v>345</v>
      </c>
      <c r="K19" s="202" t="s">
        <v>345</v>
      </c>
      <c r="L19" s="202" t="s">
        <v>345</v>
      </c>
      <c r="M19" s="202" t="s">
        <v>345</v>
      </c>
      <c r="N19" s="202" t="s">
        <v>345</v>
      </c>
      <c r="O19" s="202" t="s">
        <v>345</v>
      </c>
      <c r="P19" s="202" t="s">
        <v>345</v>
      </c>
      <c r="Q19" s="202" t="s">
        <v>345</v>
      </c>
      <c r="R19" s="202" t="s">
        <v>345</v>
      </c>
      <c r="S19" s="202" t="s">
        <v>345</v>
      </c>
    </row>
    <row r="22" spans="1:19" ht="15.75" customHeight="1">
      <c r="A22" s="606" t="s">
        <v>304</v>
      </c>
      <c r="B22" s="613" t="s">
        <v>346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597" t="s">
        <v>334</v>
      </c>
      <c r="O22" s="597"/>
      <c r="P22" s="597" t="s">
        <v>335</v>
      </c>
      <c r="Q22" s="597"/>
      <c r="R22" s="597" t="s">
        <v>336</v>
      </c>
      <c r="S22" s="597"/>
    </row>
    <row r="23" spans="1:19" ht="5.25" customHeight="1">
      <c r="A23" s="607"/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597"/>
      <c r="O23" s="597"/>
      <c r="P23" s="597"/>
      <c r="Q23" s="597"/>
      <c r="R23" s="597"/>
      <c r="S23" s="597"/>
    </row>
    <row r="24" spans="1:19" ht="11.25" customHeight="1">
      <c r="A24" s="607"/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597"/>
      <c r="O24" s="597"/>
      <c r="P24" s="597"/>
      <c r="Q24" s="597"/>
      <c r="R24" s="597"/>
      <c r="S24" s="597"/>
    </row>
    <row r="25" spans="1:19" ht="108" customHeight="1">
      <c r="A25" s="608"/>
      <c r="B25" s="597" t="s">
        <v>347</v>
      </c>
      <c r="C25" s="597"/>
      <c r="D25" s="597" t="s">
        <v>348</v>
      </c>
      <c r="E25" s="597"/>
      <c r="F25" s="597" t="s">
        <v>349</v>
      </c>
      <c r="G25" s="597"/>
      <c r="H25" s="614" t="s">
        <v>350</v>
      </c>
      <c r="I25" s="614"/>
      <c r="J25" s="614" t="s">
        <v>351</v>
      </c>
      <c r="K25" s="614"/>
      <c r="L25" s="208" t="s">
        <v>353</v>
      </c>
      <c r="M25" s="68" t="s">
        <v>12</v>
      </c>
      <c r="N25" s="597"/>
      <c r="O25" s="597"/>
      <c r="P25" s="597"/>
      <c r="Q25" s="597"/>
      <c r="R25" s="597"/>
      <c r="S25" s="597"/>
    </row>
    <row r="26" spans="1:19" ht="16.5" customHeight="1">
      <c r="A26" s="71" t="s">
        <v>10</v>
      </c>
      <c r="B26" s="605">
        <v>3602</v>
      </c>
      <c r="C26" s="605"/>
      <c r="D26" s="605">
        <v>6385</v>
      </c>
      <c r="E26" s="605"/>
      <c r="F26" s="605">
        <v>552</v>
      </c>
      <c r="G26" s="605"/>
      <c r="H26" s="605">
        <v>363</v>
      </c>
      <c r="I26" s="605"/>
      <c r="J26" s="605">
        <v>108</v>
      </c>
      <c r="K26" s="605"/>
      <c r="L26" s="201"/>
      <c r="M26" s="201">
        <f>SUM(B26:L26)</f>
        <v>11010</v>
      </c>
      <c r="N26" s="612">
        <v>1215822.1</v>
      </c>
      <c r="O26" s="612"/>
      <c r="P26" s="612">
        <f>1275653.9+7445.8</f>
        <v>1283099.7</v>
      </c>
      <c r="Q26" s="612"/>
      <c r="R26" s="612">
        <f aca="true" t="shared" si="1" ref="R26:R34">P26</f>
        <v>1283099.7</v>
      </c>
      <c r="S26" s="612"/>
    </row>
    <row r="27" spans="1:19" ht="16.5" customHeight="1">
      <c r="A27" s="210" t="s">
        <v>113</v>
      </c>
      <c r="B27" s="605">
        <v>1100</v>
      </c>
      <c r="C27" s="605"/>
      <c r="D27" s="605"/>
      <c r="E27" s="605"/>
      <c r="F27" s="605"/>
      <c r="G27" s="605"/>
      <c r="H27" s="605"/>
      <c r="I27" s="605"/>
      <c r="J27" s="605"/>
      <c r="K27" s="605"/>
      <c r="L27" s="201"/>
      <c r="M27" s="201">
        <f aca="true" t="shared" si="2" ref="M27:M36">SUM(B27:L27)</f>
        <v>1100</v>
      </c>
      <c r="N27" s="612">
        <v>141339</v>
      </c>
      <c r="O27" s="612"/>
      <c r="P27" s="612">
        <v>149199.6</v>
      </c>
      <c r="Q27" s="612"/>
      <c r="R27" s="612">
        <f t="shared" si="1"/>
        <v>149199.6</v>
      </c>
      <c r="S27" s="612"/>
    </row>
    <row r="28" spans="1:19" ht="16.5" customHeight="1">
      <c r="A28" s="209" t="s">
        <v>109</v>
      </c>
      <c r="B28" s="605">
        <v>618</v>
      </c>
      <c r="C28" s="605"/>
      <c r="D28" s="605"/>
      <c r="E28" s="605"/>
      <c r="F28" s="605"/>
      <c r="G28" s="605"/>
      <c r="H28" s="605"/>
      <c r="I28" s="605"/>
      <c r="J28" s="605"/>
      <c r="K28" s="605"/>
      <c r="L28" s="201"/>
      <c r="M28" s="201">
        <f t="shared" si="2"/>
        <v>618</v>
      </c>
      <c r="N28" s="612">
        <v>79406.8</v>
      </c>
      <c r="O28" s="612"/>
      <c r="P28" s="612">
        <v>83823</v>
      </c>
      <c r="Q28" s="612"/>
      <c r="R28" s="612">
        <f t="shared" si="1"/>
        <v>83823</v>
      </c>
      <c r="S28" s="612"/>
    </row>
    <row r="29" spans="1:19" ht="16.5" customHeight="1">
      <c r="A29" s="204" t="s">
        <v>116</v>
      </c>
      <c r="B29" s="605">
        <v>69</v>
      </c>
      <c r="C29" s="605"/>
      <c r="D29" s="605"/>
      <c r="E29" s="605"/>
      <c r="F29" s="605"/>
      <c r="G29" s="605"/>
      <c r="H29" s="605"/>
      <c r="I29" s="605"/>
      <c r="J29" s="605"/>
      <c r="K29" s="605"/>
      <c r="L29" s="201">
        <v>262</v>
      </c>
      <c r="M29" s="201">
        <f t="shared" si="2"/>
        <v>331</v>
      </c>
      <c r="N29" s="612">
        <v>60781.1</v>
      </c>
      <c r="O29" s="612"/>
      <c r="P29" s="612">
        <v>64161.4</v>
      </c>
      <c r="Q29" s="612"/>
      <c r="R29" s="612">
        <f t="shared" si="1"/>
        <v>64161.4</v>
      </c>
      <c r="S29" s="612"/>
    </row>
    <row r="30" spans="1:19" ht="16.5" customHeight="1">
      <c r="A30" s="204" t="s">
        <v>112</v>
      </c>
      <c r="B30" s="605">
        <v>255</v>
      </c>
      <c r="C30" s="605"/>
      <c r="D30" s="605"/>
      <c r="E30" s="605"/>
      <c r="F30" s="605"/>
      <c r="G30" s="605"/>
      <c r="H30" s="605"/>
      <c r="I30" s="605"/>
      <c r="J30" s="605"/>
      <c r="K30" s="605"/>
      <c r="L30" s="201"/>
      <c r="M30" s="201">
        <f t="shared" si="2"/>
        <v>255</v>
      </c>
      <c r="N30" s="612">
        <v>32765</v>
      </c>
      <c r="O30" s="612"/>
      <c r="P30" s="612">
        <v>34587.2</v>
      </c>
      <c r="Q30" s="612"/>
      <c r="R30" s="612">
        <f t="shared" si="1"/>
        <v>34587.2</v>
      </c>
      <c r="S30" s="612"/>
    </row>
    <row r="31" spans="1:19" ht="16.5" customHeight="1">
      <c r="A31" s="204" t="s">
        <v>342</v>
      </c>
      <c r="B31" s="605">
        <v>715</v>
      </c>
      <c r="C31" s="605"/>
      <c r="D31" s="605">
        <v>65</v>
      </c>
      <c r="E31" s="605"/>
      <c r="F31" s="605"/>
      <c r="G31" s="605"/>
      <c r="H31" s="605"/>
      <c r="I31" s="605"/>
      <c r="J31" s="605"/>
      <c r="K31" s="605"/>
      <c r="L31" s="201"/>
      <c r="M31" s="201">
        <f t="shared" si="2"/>
        <v>780</v>
      </c>
      <c r="N31" s="612">
        <v>104582.40000000001</v>
      </c>
      <c r="O31" s="612"/>
      <c r="P31" s="612">
        <v>110398.8</v>
      </c>
      <c r="Q31" s="612"/>
      <c r="R31" s="612">
        <f t="shared" si="1"/>
        <v>110398.8</v>
      </c>
      <c r="S31" s="612"/>
    </row>
    <row r="32" spans="1:19" ht="16.5" customHeight="1">
      <c r="A32" s="204" t="s">
        <v>118</v>
      </c>
      <c r="B32" s="605">
        <v>441</v>
      </c>
      <c r="C32" s="605"/>
      <c r="D32" s="605"/>
      <c r="E32" s="605"/>
      <c r="F32" s="605"/>
      <c r="G32" s="605"/>
      <c r="H32" s="605"/>
      <c r="I32" s="605"/>
      <c r="J32" s="605"/>
      <c r="K32" s="605"/>
      <c r="L32" s="201"/>
      <c r="M32" s="201">
        <f t="shared" si="2"/>
        <v>441</v>
      </c>
      <c r="N32" s="612">
        <v>56664.1</v>
      </c>
      <c r="O32" s="612"/>
      <c r="P32" s="612">
        <v>59815.5</v>
      </c>
      <c r="Q32" s="612"/>
      <c r="R32" s="612">
        <f t="shared" si="1"/>
        <v>59815.5</v>
      </c>
      <c r="S32" s="612"/>
    </row>
    <row r="33" spans="1:19" ht="16.5" customHeight="1">
      <c r="A33" s="204" t="s">
        <v>119</v>
      </c>
      <c r="B33" s="605">
        <v>810</v>
      </c>
      <c r="C33" s="605"/>
      <c r="D33" s="605"/>
      <c r="E33" s="605"/>
      <c r="F33" s="605"/>
      <c r="G33" s="605"/>
      <c r="H33" s="605"/>
      <c r="I33" s="605"/>
      <c r="J33" s="605"/>
      <c r="K33" s="605"/>
      <c r="L33" s="201"/>
      <c r="M33" s="201">
        <f t="shared" si="2"/>
        <v>810</v>
      </c>
      <c r="N33" s="612">
        <v>104076.9</v>
      </c>
      <c r="O33" s="612"/>
      <c r="P33" s="612">
        <v>109865.1</v>
      </c>
      <c r="Q33" s="612"/>
      <c r="R33" s="612">
        <f t="shared" si="1"/>
        <v>109865.1</v>
      </c>
      <c r="S33" s="612"/>
    </row>
    <row r="34" spans="1:19" ht="16.5" customHeight="1">
      <c r="A34" s="204" t="s">
        <v>120</v>
      </c>
      <c r="B34" s="605">
        <v>976</v>
      </c>
      <c r="C34" s="605"/>
      <c r="D34" s="605"/>
      <c r="E34" s="605"/>
      <c r="F34" s="605"/>
      <c r="G34" s="605"/>
      <c r="H34" s="605"/>
      <c r="I34" s="605"/>
      <c r="J34" s="605"/>
      <c r="K34" s="605"/>
      <c r="L34" s="201"/>
      <c r="M34" s="201">
        <f t="shared" si="2"/>
        <v>976</v>
      </c>
      <c r="N34" s="612">
        <v>125406.2</v>
      </c>
      <c r="O34" s="612"/>
      <c r="P34" s="612">
        <v>132380.7</v>
      </c>
      <c r="Q34" s="612"/>
      <c r="R34" s="612">
        <f t="shared" si="1"/>
        <v>132380.7</v>
      </c>
      <c r="S34" s="612"/>
    </row>
    <row r="35" spans="1:19" ht="16.5" customHeight="1">
      <c r="A35" s="204" t="s">
        <v>555</v>
      </c>
      <c r="B35" s="603"/>
      <c r="C35" s="604"/>
      <c r="D35" s="603"/>
      <c r="E35" s="604"/>
      <c r="F35" s="603"/>
      <c r="G35" s="604"/>
      <c r="H35" s="603"/>
      <c r="I35" s="604"/>
      <c r="J35" s="605"/>
      <c r="K35" s="605"/>
      <c r="L35" s="460"/>
      <c r="M35" s="460"/>
      <c r="N35" s="601">
        <v>100487.4</v>
      </c>
      <c r="O35" s="602"/>
      <c r="P35" s="601"/>
      <c r="Q35" s="602"/>
      <c r="R35" s="601"/>
      <c r="S35" s="602"/>
    </row>
    <row r="36" spans="1:19" ht="16.5" customHeight="1">
      <c r="A36" s="66" t="s">
        <v>12</v>
      </c>
      <c r="B36" s="605">
        <f>SUM(B26:B34)</f>
        <v>8586</v>
      </c>
      <c r="C36" s="605"/>
      <c r="D36" s="605">
        <f>SUM(D26:D34)</f>
        <v>6450</v>
      </c>
      <c r="E36" s="605"/>
      <c r="F36" s="605">
        <f>SUM(F26:F34)</f>
        <v>552</v>
      </c>
      <c r="G36" s="605"/>
      <c r="H36" s="605">
        <f>SUM(H26:H34)</f>
        <v>363</v>
      </c>
      <c r="I36" s="605"/>
      <c r="J36" s="605">
        <f>SUM(J26:J34)</f>
        <v>108</v>
      </c>
      <c r="K36" s="605"/>
      <c r="L36" s="201">
        <f>SUM(L26:L34)</f>
        <v>262</v>
      </c>
      <c r="M36" s="201">
        <f t="shared" si="2"/>
        <v>16321</v>
      </c>
      <c r="N36" s="612">
        <f>SUM(N26:N35)</f>
        <v>2021331</v>
      </c>
      <c r="O36" s="612"/>
      <c r="P36" s="612">
        <f>SUM(P26:P35)</f>
        <v>2027331</v>
      </c>
      <c r="Q36" s="612"/>
      <c r="R36" s="612">
        <f>SUM(R26:R34)</f>
        <v>2027331</v>
      </c>
      <c r="S36" s="612"/>
    </row>
  </sheetData>
  <sheetProtection/>
  <mergeCells count="110">
    <mergeCell ref="J30:K30"/>
    <mergeCell ref="J31:K31"/>
    <mergeCell ref="J32:K32"/>
    <mergeCell ref="J33:K33"/>
    <mergeCell ref="J34:K34"/>
    <mergeCell ref="J36:K36"/>
    <mergeCell ref="H31:I31"/>
    <mergeCell ref="H32:I32"/>
    <mergeCell ref="H33:I33"/>
    <mergeCell ref="H34:I34"/>
    <mergeCell ref="H36:I36"/>
    <mergeCell ref="J25:K25"/>
    <mergeCell ref="J26:K26"/>
    <mergeCell ref="J27:K27"/>
    <mergeCell ref="J28:K28"/>
    <mergeCell ref="J29:K29"/>
    <mergeCell ref="F33:G33"/>
    <mergeCell ref="F34:G34"/>
    <mergeCell ref="F36:G36"/>
    <mergeCell ref="F25:G25"/>
    <mergeCell ref="H25:I25"/>
    <mergeCell ref="H26:I26"/>
    <mergeCell ref="H27:I27"/>
    <mergeCell ref="H28:I28"/>
    <mergeCell ref="H29:I29"/>
    <mergeCell ref="H30:I30"/>
    <mergeCell ref="D33:E33"/>
    <mergeCell ref="D34:E34"/>
    <mergeCell ref="D36:E36"/>
    <mergeCell ref="F26:G26"/>
    <mergeCell ref="F27:G27"/>
    <mergeCell ref="F28:G28"/>
    <mergeCell ref="F29:G29"/>
    <mergeCell ref="F30:G30"/>
    <mergeCell ref="F31:G31"/>
    <mergeCell ref="F32:G32"/>
    <mergeCell ref="D27:E27"/>
    <mergeCell ref="D28:E28"/>
    <mergeCell ref="D29:E29"/>
    <mergeCell ref="D30:E30"/>
    <mergeCell ref="D31:E31"/>
    <mergeCell ref="D32:E32"/>
    <mergeCell ref="B30:C30"/>
    <mergeCell ref="B31:C31"/>
    <mergeCell ref="B32:C32"/>
    <mergeCell ref="B33:C33"/>
    <mergeCell ref="B34:C34"/>
    <mergeCell ref="B36:C36"/>
    <mergeCell ref="B35:C35"/>
    <mergeCell ref="N31:O31"/>
    <mergeCell ref="N32:O32"/>
    <mergeCell ref="N33:O33"/>
    <mergeCell ref="N34:O34"/>
    <mergeCell ref="N36:O36"/>
    <mergeCell ref="B25:C25"/>
    <mergeCell ref="B26:C26"/>
    <mergeCell ref="B27:C27"/>
    <mergeCell ref="B28:C28"/>
    <mergeCell ref="B29:C29"/>
    <mergeCell ref="P31:Q31"/>
    <mergeCell ref="P32:Q32"/>
    <mergeCell ref="P33:Q33"/>
    <mergeCell ref="P34:Q34"/>
    <mergeCell ref="P36:Q36"/>
    <mergeCell ref="N26:O26"/>
    <mergeCell ref="N27:O27"/>
    <mergeCell ref="N28:O28"/>
    <mergeCell ref="N29:O29"/>
    <mergeCell ref="N30:O30"/>
    <mergeCell ref="R33:S33"/>
    <mergeCell ref="R34:S34"/>
    <mergeCell ref="R36:S36"/>
    <mergeCell ref="A2:S2"/>
    <mergeCell ref="A1:S1"/>
    <mergeCell ref="P26:Q26"/>
    <mergeCell ref="P27:Q27"/>
    <mergeCell ref="P28:Q28"/>
    <mergeCell ref="P29:Q29"/>
    <mergeCell ref="P30:Q30"/>
    <mergeCell ref="R27:S27"/>
    <mergeCell ref="R28:S28"/>
    <mergeCell ref="R29:S29"/>
    <mergeCell ref="R30:S30"/>
    <mergeCell ref="R31:S31"/>
    <mergeCell ref="R32:S32"/>
    <mergeCell ref="A22:A25"/>
    <mergeCell ref="N22:O25"/>
    <mergeCell ref="P22:Q25"/>
    <mergeCell ref="R22:S25"/>
    <mergeCell ref="R26:S26"/>
    <mergeCell ref="D25:E25"/>
    <mergeCell ref="D26:E26"/>
    <mergeCell ref="B22:M24"/>
    <mergeCell ref="A6:A9"/>
    <mergeCell ref="B6:S6"/>
    <mergeCell ref="B7:P7"/>
    <mergeCell ref="Q7:S7"/>
    <mergeCell ref="Q8:S8"/>
    <mergeCell ref="B8:D8"/>
    <mergeCell ref="E8:G8"/>
    <mergeCell ref="K8:M8"/>
    <mergeCell ref="N8:P8"/>
    <mergeCell ref="H8:J8"/>
    <mergeCell ref="R35:S35"/>
    <mergeCell ref="D35:E35"/>
    <mergeCell ref="F35:G35"/>
    <mergeCell ref="H35:I35"/>
    <mergeCell ref="J35:K35"/>
    <mergeCell ref="N35:O35"/>
    <mergeCell ref="P35:Q35"/>
  </mergeCells>
  <printOptions horizontalCentered="1"/>
  <pageMargins left="0.1968503937007874" right="0.1968503937007874" top="0.6692913385826772" bottom="0.31496062992125984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65"/>
  <sheetViews>
    <sheetView zoomScalePageLayoutView="0" workbookViewId="0" topLeftCell="A1">
      <selection activeCell="Q62" sqref="Q62"/>
    </sheetView>
  </sheetViews>
  <sheetFormatPr defaultColWidth="23.75390625" defaultRowHeight="12.75"/>
  <cols>
    <col min="1" max="1" width="36.75390625" style="62" customWidth="1"/>
    <col min="2" max="2" width="10.00390625" style="58" hidden="1" customWidth="1"/>
    <col min="3" max="3" width="11.125" style="58" hidden="1" customWidth="1"/>
    <col min="4" max="4" width="12.625" style="58" hidden="1" customWidth="1"/>
    <col min="5" max="5" width="10.375" style="58" hidden="1" customWidth="1"/>
    <col min="6" max="6" width="10.875" style="58" hidden="1" customWidth="1"/>
    <col min="7" max="7" width="9.625" style="58" hidden="1" customWidth="1"/>
    <col min="8" max="8" width="10.875" style="58" hidden="1" customWidth="1"/>
    <col min="9" max="9" width="22.125" style="58" hidden="1" customWidth="1"/>
    <col min="10" max="11" width="14.375" style="58" hidden="1" customWidth="1"/>
    <col min="12" max="12" width="15.125" style="58" hidden="1" customWidth="1"/>
    <col min="13" max="13" width="9.125" style="58" hidden="1" customWidth="1"/>
    <col min="14" max="15" width="9.75390625" style="58" customWidth="1"/>
    <col min="16" max="16" width="12.25390625" style="58" customWidth="1"/>
    <col min="17" max="17" width="11.875" style="58" customWidth="1"/>
    <col min="18" max="18" width="11.375" style="58" customWidth="1"/>
    <col min="19" max="19" width="15.875" style="58" customWidth="1"/>
    <col min="20" max="20" width="21.125" style="58" customWidth="1"/>
    <col min="21" max="23" width="9.125" style="58" hidden="1" customWidth="1"/>
    <col min="24" max="24" width="9.625" style="58" hidden="1" customWidth="1"/>
    <col min="25" max="26" width="21.125" style="58" customWidth="1"/>
    <col min="27" max="247" width="9.125" style="58" customWidth="1"/>
    <col min="248" max="248" width="18.625" style="58" customWidth="1"/>
    <col min="249" max="249" width="12.875" style="58" customWidth="1"/>
    <col min="250" max="250" width="13.25390625" style="58" customWidth="1"/>
    <col min="251" max="251" width="12.625" style="58" customWidth="1"/>
    <col min="252" max="252" width="10.375" style="58" customWidth="1"/>
    <col min="253" max="253" width="9.00390625" style="58" customWidth="1"/>
    <col min="254" max="254" width="14.00390625" style="58" customWidth="1"/>
    <col min="255" max="255" width="0" style="58" hidden="1" customWidth="1"/>
    <col min="256" max="16384" width="23.75390625" style="58" customWidth="1"/>
  </cols>
  <sheetData>
    <row r="1" spans="1:26" ht="15.75">
      <c r="A1" s="540" t="s">
        <v>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</row>
    <row r="2" spans="1:26" ht="49.5" customHeight="1">
      <c r="A2" s="616" t="s">
        <v>303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</row>
    <row r="3" spans="1:20" ht="15.7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</row>
    <row r="4" spans="1:13" ht="15.75">
      <c r="A4" s="59"/>
      <c r="B4" s="60"/>
      <c r="C4" s="60"/>
      <c r="D4" s="60"/>
      <c r="E4" s="60"/>
      <c r="F4" s="60"/>
      <c r="G4" s="60"/>
      <c r="H4" s="60"/>
      <c r="I4" s="60"/>
      <c r="J4" s="60"/>
      <c r="L4" s="155" t="s">
        <v>30</v>
      </c>
      <c r="M4" s="156"/>
    </row>
    <row r="5" spans="1:26" s="158" customFormat="1" ht="67.5" customHeight="1">
      <c r="A5" s="617" t="s">
        <v>304</v>
      </c>
      <c r="B5" s="617" t="s">
        <v>166</v>
      </c>
      <c r="C5" s="617"/>
      <c r="D5" s="617"/>
      <c r="E5" s="617" t="s">
        <v>167</v>
      </c>
      <c r="F5" s="157" t="s">
        <v>168</v>
      </c>
      <c r="G5" s="617" t="s">
        <v>169</v>
      </c>
      <c r="H5" s="617"/>
      <c r="I5" s="617"/>
      <c r="J5" s="617" t="s">
        <v>218</v>
      </c>
      <c r="K5" s="617"/>
      <c r="L5" s="617"/>
      <c r="M5" s="157" t="s">
        <v>170</v>
      </c>
      <c r="N5" s="617" t="s">
        <v>171</v>
      </c>
      <c r="O5" s="617"/>
      <c r="P5" s="617"/>
      <c r="Q5" s="617" t="s">
        <v>172</v>
      </c>
      <c r="R5" s="617"/>
      <c r="S5" s="617" t="s">
        <v>300</v>
      </c>
      <c r="T5" s="617" t="s">
        <v>301</v>
      </c>
      <c r="U5" s="618" t="s">
        <v>173</v>
      </c>
      <c r="V5" s="618" t="s">
        <v>174</v>
      </c>
      <c r="W5" s="615" t="s">
        <v>175</v>
      </c>
      <c r="X5" s="615" t="s">
        <v>176</v>
      </c>
      <c r="Y5" s="617" t="s">
        <v>302</v>
      </c>
      <c r="Z5" s="617" t="s">
        <v>329</v>
      </c>
    </row>
    <row r="6" spans="1:26" s="158" customFormat="1" ht="77.25" customHeight="1">
      <c r="A6" s="617"/>
      <c r="B6" s="157" t="s">
        <v>177</v>
      </c>
      <c r="C6" s="157" t="s">
        <v>178</v>
      </c>
      <c r="D6" s="157" t="s">
        <v>179</v>
      </c>
      <c r="E6" s="617"/>
      <c r="F6" s="157"/>
      <c r="G6" s="157" t="s">
        <v>177</v>
      </c>
      <c r="H6" s="157" t="s">
        <v>178</v>
      </c>
      <c r="I6" s="157" t="s">
        <v>179</v>
      </c>
      <c r="J6" s="157" t="s">
        <v>177</v>
      </c>
      <c r="K6" s="157" t="s">
        <v>178</v>
      </c>
      <c r="L6" s="157" t="s">
        <v>179</v>
      </c>
      <c r="M6" s="157" t="s">
        <v>178</v>
      </c>
      <c r="N6" s="157" t="s">
        <v>180</v>
      </c>
      <c r="O6" s="157" t="s">
        <v>181</v>
      </c>
      <c r="P6" s="157" t="s">
        <v>179</v>
      </c>
      <c r="Q6" s="157" t="s">
        <v>182</v>
      </c>
      <c r="R6" s="157" t="s">
        <v>183</v>
      </c>
      <c r="S6" s="617"/>
      <c r="T6" s="617"/>
      <c r="U6" s="618"/>
      <c r="V6" s="618"/>
      <c r="W6" s="615"/>
      <c r="X6" s="615"/>
      <c r="Y6" s="617"/>
      <c r="Z6" s="617"/>
    </row>
    <row r="7" spans="1:26" s="163" customFormat="1" ht="15.75" customHeight="1">
      <c r="A7" s="159" t="s">
        <v>10</v>
      </c>
      <c r="B7" s="102" t="e">
        <f>SUM(#REF!)</f>
        <v>#REF!</v>
      </c>
      <c r="C7" s="102" t="e">
        <f>SUM(#REF!)</f>
        <v>#REF!</v>
      </c>
      <c r="D7" s="102" t="e">
        <f>SUM(#REF!)</f>
        <v>#REF!</v>
      </c>
      <c r="E7" s="102" t="e">
        <f>SUM(#REF!)</f>
        <v>#REF!</v>
      </c>
      <c r="F7" s="102" t="e">
        <f>SUM(#REF!)</f>
        <v>#REF!</v>
      </c>
      <c r="G7" s="102" t="e">
        <f>SUM(#REF!)</f>
        <v>#REF!</v>
      </c>
      <c r="H7" s="102" t="e">
        <f>SUM(#REF!)</f>
        <v>#REF!</v>
      </c>
      <c r="I7" s="102" t="e">
        <f>H7+G7</f>
        <v>#REF!</v>
      </c>
      <c r="J7" s="102" t="e">
        <f>SUM(#REF!)</f>
        <v>#REF!</v>
      </c>
      <c r="K7" s="102" t="e">
        <f>SUM(#REF!)</f>
        <v>#REF!</v>
      </c>
      <c r="L7" s="102" t="e">
        <f>K7+J7</f>
        <v>#REF!</v>
      </c>
      <c r="M7" s="102">
        <v>0.59</v>
      </c>
      <c r="N7" s="160">
        <v>3499</v>
      </c>
      <c r="O7" s="160">
        <v>3149</v>
      </c>
      <c r="P7" s="160">
        <v>6648</v>
      </c>
      <c r="Q7" s="161">
        <v>25</v>
      </c>
      <c r="R7" s="161">
        <v>10</v>
      </c>
      <c r="S7" s="160">
        <v>170</v>
      </c>
      <c r="T7" s="176">
        <v>20224</v>
      </c>
      <c r="U7" s="162" t="e">
        <f>SUM(#REF!)</f>
        <v>#REF!</v>
      </c>
      <c r="V7" s="162" t="e">
        <f>SUM(#REF!)</f>
        <v>#REF!</v>
      </c>
      <c r="W7" s="162" t="e">
        <f>SUM(#REF!)</f>
        <v>#REF!</v>
      </c>
      <c r="X7" s="162" t="e">
        <f>SUM(#REF!)</f>
        <v>#REF!</v>
      </c>
      <c r="Y7" s="176">
        <v>20224</v>
      </c>
      <c r="Z7" s="176">
        <v>20224</v>
      </c>
    </row>
    <row r="8" spans="1:26" s="163" customFormat="1" ht="15.75" customHeight="1">
      <c r="A8" s="159" t="s">
        <v>113</v>
      </c>
      <c r="B8" s="102">
        <f>SUM(B9:B17)</f>
        <v>361</v>
      </c>
      <c r="C8" s="102">
        <f>SUM(C9:C17)</f>
        <v>670</v>
      </c>
      <c r="D8" s="102">
        <f>SUM(D9:D17)</f>
        <v>1031</v>
      </c>
      <c r="E8" s="102">
        <f>SUM(E9:E17)</f>
        <v>1047</v>
      </c>
      <c r="F8" s="102"/>
      <c r="G8" s="102">
        <f aca="true" t="shared" si="0" ref="G8:L8">SUM(G9:G17)</f>
        <v>361</v>
      </c>
      <c r="H8" s="102">
        <f t="shared" si="0"/>
        <v>670</v>
      </c>
      <c r="I8" s="102">
        <f t="shared" si="0"/>
        <v>1031</v>
      </c>
      <c r="J8" s="102">
        <f t="shared" si="0"/>
        <v>433</v>
      </c>
      <c r="K8" s="102">
        <f t="shared" si="0"/>
        <v>621</v>
      </c>
      <c r="L8" s="102">
        <f t="shared" si="0"/>
        <v>1054</v>
      </c>
      <c r="M8" s="102">
        <v>0.8</v>
      </c>
      <c r="N8" s="160">
        <f>SUM(N9:N17)</f>
        <v>223</v>
      </c>
      <c r="O8" s="160">
        <f>SUM(O9:O17)</f>
        <v>248</v>
      </c>
      <c r="P8" s="160">
        <f>SUM(P9:P17)</f>
        <v>471</v>
      </c>
      <c r="Q8" s="161">
        <v>25</v>
      </c>
      <c r="R8" s="161">
        <v>10</v>
      </c>
      <c r="S8" s="160">
        <v>170</v>
      </c>
      <c r="T8" s="176">
        <f>SUM(T9:T17)</f>
        <v>1369.3500000000001</v>
      </c>
      <c r="U8" s="162">
        <f>SUM(U9:U17)</f>
        <v>0</v>
      </c>
      <c r="V8" s="162">
        <f>SUM(V9:V17)</f>
        <v>0</v>
      </c>
      <c r="W8" s="162">
        <f>SUM(W9:W17)</f>
        <v>1369.3500000000001</v>
      </c>
      <c r="X8" s="162">
        <f>SUM(X9:X17)</f>
        <v>1369.3500000000001</v>
      </c>
      <c r="Y8" s="176">
        <v>1369.3500000000001</v>
      </c>
      <c r="Z8" s="176">
        <v>1369.3500000000001</v>
      </c>
    </row>
    <row r="9" spans="1:26" s="163" customFormat="1" ht="15.75" customHeight="1" hidden="1">
      <c r="A9" s="159" t="s">
        <v>184</v>
      </c>
      <c r="B9" s="102">
        <v>250</v>
      </c>
      <c r="C9" s="102">
        <v>500</v>
      </c>
      <c r="D9" s="102">
        <f>C9+B9</f>
        <v>750</v>
      </c>
      <c r="E9" s="102">
        <v>763</v>
      </c>
      <c r="F9" s="102"/>
      <c r="G9" s="102">
        <f>B9</f>
        <v>250</v>
      </c>
      <c r="H9" s="102">
        <f>C9</f>
        <v>500</v>
      </c>
      <c r="I9" s="102">
        <f aca="true" t="shared" si="1" ref="I9:I17">H9+G9</f>
        <v>750</v>
      </c>
      <c r="J9" s="102">
        <v>317</v>
      </c>
      <c r="K9" s="102">
        <f>401+56</f>
        <v>457</v>
      </c>
      <c r="L9" s="102">
        <f>K9+J9</f>
        <v>774</v>
      </c>
      <c r="M9" s="102">
        <v>0.8</v>
      </c>
      <c r="N9" s="160">
        <v>123</v>
      </c>
      <c r="O9" s="160">
        <v>140</v>
      </c>
      <c r="P9" s="160">
        <f>O9+N9</f>
        <v>263</v>
      </c>
      <c r="Q9" s="161">
        <f>25</f>
        <v>25</v>
      </c>
      <c r="R9" s="161">
        <v>10</v>
      </c>
      <c r="S9" s="164">
        <v>170</v>
      </c>
      <c r="T9" s="176">
        <f aca="true" t="shared" si="2" ref="T9:T17">(Q9*N9+R9*O9)*S9/1000</f>
        <v>760.75</v>
      </c>
      <c r="U9" s="177"/>
      <c r="V9" s="177"/>
      <c r="W9" s="178">
        <f aca="true" t="shared" si="3" ref="W9:W17">T9</f>
        <v>760.75</v>
      </c>
      <c r="X9" s="178">
        <f aca="true" t="shared" si="4" ref="X9:X17">W9</f>
        <v>760.75</v>
      </c>
      <c r="Y9" s="176">
        <v>760.75</v>
      </c>
      <c r="Z9" s="176">
        <v>760.75</v>
      </c>
    </row>
    <row r="10" spans="1:26" s="163" customFormat="1" ht="15.75" customHeight="1" hidden="1">
      <c r="A10" s="159" t="s">
        <v>185</v>
      </c>
      <c r="B10" s="102">
        <v>40</v>
      </c>
      <c r="C10" s="102">
        <v>65</v>
      </c>
      <c r="D10" s="102">
        <f aca="true" t="shared" si="5" ref="D10:D17">C10+B10</f>
        <v>105</v>
      </c>
      <c r="E10" s="102">
        <v>112</v>
      </c>
      <c r="F10" s="102"/>
      <c r="G10" s="102">
        <f aca="true" t="shared" si="6" ref="G10:H17">B10</f>
        <v>40</v>
      </c>
      <c r="H10" s="102">
        <f t="shared" si="6"/>
        <v>65</v>
      </c>
      <c r="I10" s="102">
        <f t="shared" si="1"/>
        <v>105</v>
      </c>
      <c r="J10" s="102">
        <v>40</v>
      </c>
      <c r="K10" s="102">
        <f>105-40</f>
        <v>65</v>
      </c>
      <c r="L10" s="102">
        <f aca="true" t="shared" si="7" ref="L10:L17">K10+J10</f>
        <v>105</v>
      </c>
      <c r="M10" s="102">
        <v>0.8</v>
      </c>
      <c r="N10" s="160">
        <v>28</v>
      </c>
      <c r="O10" s="160">
        <v>41</v>
      </c>
      <c r="P10" s="160">
        <f aca="true" t="shared" si="8" ref="P10:P17">O10+N10</f>
        <v>69</v>
      </c>
      <c r="Q10" s="161">
        <f>25</f>
        <v>25</v>
      </c>
      <c r="R10" s="161">
        <v>10</v>
      </c>
      <c r="S10" s="164">
        <v>170</v>
      </c>
      <c r="T10" s="176">
        <f t="shared" si="2"/>
        <v>188.7</v>
      </c>
      <c r="U10" s="177"/>
      <c r="V10" s="177"/>
      <c r="W10" s="178">
        <f t="shared" si="3"/>
        <v>188.7</v>
      </c>
      <c r="X10" s="178">
        <f t="shared" si="4"/>
        <v>188.7</v>
      </c>
      <c r="Y10" s="176">
        <v>188.7</v>
      </c>
      <c r="Z10" s="176">
        <v>188.7</v>
      </c>
    </row>
    <row r="11" spans="1:26" s="163" customFormat="1" ht="15.75" customHeight="1" hidden="1">
      <c r="A11" s="159" t="s">
        <v>186</v>
      </c>
      <c r="B11" s="102">
        <v>14</v>
      </c>
      <c r="C11" s="102">
        <v>42</v>
      </c>
      <c r="D11" s="102">
        <f t="shared" si="5"/>
        <v>56</v>
      </c>
      <c r="E11" s="102">
        <v>55</v>
      </c>
      <c r="F11" s="102"/>
      <c r="G11" s="102">
        <f t="shared" si="6"/>
        <v>14</v>
      </c>
      <c r="H11" s="102">
        <f t="shared" si="6"/>
        <v>42</v>
      </c>
      <c r="I11" s="102">
        <f t="shared" si="1"/>
        <v>56</v>
      </c>
      <c r="J11" s="102">
        <v>14</v>
      </c>
      <c r="K11" s="102">
        <f>53-14</f>
        <v>39</v>
      </c>
      <c r="L11" s="102">
        <f t="shared" si="7"/>
        <v>53</v>
      </c>
      <c r="M11" s="102">
        <v>0.8</v>
      </c>
      <c r="N11" s="160">
        <f aca="true" t="shared" si="9" ref="N11:N17">J11</f>
        <v>14</v>
      </c>
      <c r="O11" s="160">
        <v>15</v>
      </c>
      <c r="P11" s="160">
        <f t="shared" si="8"/>
        <v>29</v>
      </c>
      <c r="Q11" s="161">
        <f>25</f>
        <v>25</v>
      </c>
      <c r="R11" s="161">
        <v>10</v>
      </c>
      <c r="S11" s="164">
        <v>170</v>
      </c>
      <c r="T11" s="176">
        <f t="shared" si="2"/>
        <v>85</v>
      </c>
      <c r="U11" s="177"/>
      <c r="V11" s="177"/>
      <c r="W11" s="178">
        <f t="shared" si="3"/>
        <v>85</v>
      </c>
      <c r="X11" s="178">
        <f t="shared" si="4"/>
        <v>85</v>
      </c>
      <c r="Y11" s="176">
        <v>85</v>
      </c>
      <c r="Z11" s="176">
        <v>85</v>
      </c>
    </row>
    <row r="12" spans="1:26" s="163" customFormat="1" ht="15.75" customHeight="1" hidden="1">
      <c r="A12" s="159" t="s">
        <v>187</v>
      </c>
      <c r="B12" s="102">
        <v>16</v>
      </c>
      <c r="C12" s="102">
        <v>39</v>
      </c>
      <c r="D12" s="102">
        <f t="shared" si="5"/>
        <v>55</v>
      </c>
      <c r="E12" s="102">
        <v>58</v>
      </c>
      <c r="F12" s="102"/>
      <c r="G12" s="102">
        <f t="shared" si="6"/>
        <v>16</v>
      </c>
      <c r="H12" s="102">
        <f t="shared" si="6"/>
        <v>39</v>
      </c>
      <c r="I12" s="102">
        <f t="shared" si="1"/>
        <v>55</v>
      </c>
      <c r="J12" s="102">
        <v>16</v>
      </c>
      <c r="K12" s="102">
        <f>55-16</f>
        <v>39</v>
      </c>
      <c r="L12" s="102">
        <f t="shared" si="7"/>
        <v>55</v>
      </c>
      <c r="M12" s="102">
        <v>0.8</v>
      </c>
      <c r="N12" s="160">
        <f t="shared" si="9"/>
        <v>16</v>
      </c>
      <c r="O12" s="160">
        <f aca="true" t="shared" si="10" ref="O12:O17">ROUND(K12*M12,0)</f>
        <v>31</v>
      </c>
      <c r="P12" s="160">
        <f t="shared" si="8"/>
        <v>47</v>
      </c>
      <c r="Q12" s="161">
        <f>25</f>
        <v>25</v>
      </c>
      <c r="R12" s="161">
        <v>10</v>
      </c>
      <c r="S12" s="164">
        <v>170</v>
      </c>
      <c r="T12" s="176">
        <f t="shared" si="2"/>
        <v>120.7</v>
      </c>
      <c r="U12" s="177"/>
      <c r="V12" s="177"/>
      <c r="W12" s="178">
        <f t="shared" si="3"/>
        <v>120.7</v>
      </c>
      <c r="X12" s="178">
        <f t="shared" si="4"/>
        <v>120.7</v>
      </c>
      <c r="Y12" s="176">
        <v>120.7</v>
      </c>
      <c r="Z12" s="176">
        <v>120.7</v>
      </c>
    </row>
    <row r="13" spans="1:26" s="163" customFormat="1" ht="15.75" customHeight="1" hidden="1">
      <c r="A13" s="159" t="s">
        <v>188</v>
      </c>
      <c r="B13" s="102">
        <v>6</v>
      </c>
      <c r="C13" s="102">
        <v>9</v>
      </c>
      <c r="D13" s="102">
        <f t="shared" si="5"/>
        <v>15</v>
      </c>
      <c r="E13" s="102">
        <v>15</v>
      </c>
      <c r="F13" s="102"/>
      <c r="G13" s="102">
        <f t="shared" si="6"/>
        <v>6</v>
      </c>
      <c r="H13" s="102">
        <f t="shared" si="6"/>
        <v>9</v>
      </c>
      <c r="I13" s="102">
        <f t="shared" si="1"/>
        <v>15</v>
      </c>
      <c r="J13" s="102">
        <v>7</v>
      </c>
      <c r="K13" s="102">
        <f>15-7</f>
        <v>8</v>
      </c>
      <c r="L13" s="102">
        <f t="shared" si="7"/>
        <v>15</v>
      </c>
      <c r="M13" s="102">
        <v>0.8</v>
      </c>
      <c r="N13" s="160">
        <f t="shared" si="9"/>
        <v>7</v>
      </c>
      <c r="O13" s="160">
        <f t="shared" si="10"/>
        <v>6</v>
      </c>
      <c r="P13" s="160">
        <f t="shared" si="8"/>
        <v>13</v>
      </c>
      <c r="Q13" s="161">
        <f>25</f>
        <v>25</v>
      </c>
      <c r="R13" s="161">
        <v>10</v>
      </c>
      <c r="S13" s="164">
        <v>170</v>
      </c>
      <c r="T13" s="176">
        <f t="shared" si="2"/>
        <v>39.95</v>
      </c>
      <c r="U13" s="177"/>
      <c r="V13" s="177"/>
      <c r="W13" s="178">
        <f t="shared" si="3"/>
        <v>39.95</v>
      </c>
      <c r="X13" s="178">
        <f t="shared" si="4"/>
        <v>39.95</v>
      </c>
      <c r="Y13" s="176">
        <v>39.95</v>
      </c>
      <c r="Z13" s="176">
        <v>39.95</v>
      </c>
    </row>
    <row r="14" spans="1:26" s="163" customFormat="1" ht="15.75" customHeight="1" hidden="1">
      <c r="A14" s="159" t="s">
        <v>189</v>
      </c>
      <c r="B14" s="102">
        <v>10</v>
      </c>
      <c r="C14" s="102">
        <v>15</v>
      </c>
      <c r="D14" s="102">
        <f t="shared" si="5"/>
        <v>25</v>
      </c>
      <c r="E14" s="102">
        <v>23</v>
      </c>
      <c r="F14" s="102"/>
      <c r="G14" s="102">
        <f t="shared" si="6"/>
        <v>10</v>
      </c>
      <c r="H14" s="102">
        <f t="shared" si="6"/>
        <v>15</v>
      </c>
      <c r="I14" s="102">
        <f t="shared" si="1"/>
        <v>25</v>
      </c>
      <c r="J14" s="102">
        <v>12</v>
      </c>
      <c r="K14" s="102">
        <f>25-12</f>
        <v>13</v>
      </c>
      <c r="L14" s="102">
        <f t="shared" si="7"/>
        <v>25</v>
      </c>
      <c r="M14" s="102">
        <v>0.8</v>
      </c>
      <c r="N14" s="160">
        <f t="shared" si="9"/>
        <v>12</v>
      </c>
      <c r="O14" s="160">
        <v>15</v>
      </c>
      <c r="P14" s="160">
        <f t="shared" si="8"/>
        <v>27</v>
      </c>
      <c r="Q14" s="161">
        <f>25</f>
        <v>25</v>
      </c>
      <c r="R14" s="161">
        <v>10</v>
      </c>
      <c r="S14" s="164">
        <v>170</v>
      </c>
      <c r="T14" s="176">
        <f t="shared" si="2"/>
        <v>76.5</v>
      </c>
      <c r="U14" s="177"/>
      <c r="V14" s="177"/>
      <c r="W14" s="178">
        <f t="shared" si="3"/>
        <v>76.5</v>
      </c>
      <c r="X14" s="178">
        <f t="shared" si="4"/>
        <v>76.5</v>
      </c>
      <c r="Y14" s="176">
        <v>76.5</v>
      </c>
      <c r="Z14" s="176">
        <v>76.5</v>
      </c>
    </row>
    <row r="15" spans="1:26" s="163" customFormat="1" ht="15.75" customHeight="1" hidden="1">
      <c r="A15" s="159" t="s">
        <v>190</v>
      </c>
      <c r="B15" s="102">
        <v>20</v>
      </c>
      <c r="C15" s="102">
        <v>0</v>
      </c>
      <c r="D15" s="102">
        <f t="shared" si="5"/>
        <v>20</v>
      </c>
      <c r="E15" s="102">
        <v>16</v>
      </c>
      <c r="F15" s="102"/>
      <c r="G15" s="102">
        <f t="shared" si="6"/>
        <v>20</v>
      </c>
      <c r="H15" s="102">
        <f t="shared" si="6"/>
        <v>0</v>
      </c>
      <c r="I15" s="102">
        <f t="shared" si="1"/>
        <v>20</v>
      </c>
      <c r="J15" s="102">
        <v>20</v>
      </c>
      <c r="K15" s="102">
        <v>0</v>
      </c>
      <c r="L15" s="102">
        <f t="shared" si="7"/>
        <v>20</v>
      </c>
      <c r="M15" s="102">
        <v>0.8</v>
      </c>
      <c r="N15" s="160">
        <v>16</v>
      </c>
      <c r="O15" s="160">
        <f t="shared" si="10"/>
        <v>0</v>
      </c>
      <c r="P15" s="160">
        <f t="shared" si="8"/>
        <v>16</v>
      </c>
      <c r="Q15" s="161">
        <f>25</f>
        <v>25</v>
      </c>
      <c r="R15" s="161">
        <v>10</v>
      </c>
      <c r="S15" s="164">
        <v>170</v>
      </c>
      <c r="T15" s="176">
        <f t="shared" si="2"/>
        <v>68</v>
      </c>
      <c r="U15" s="177"/>
      <c r="V15" s="177"/>
      <c r="W15" s="178">
        <f t="shared" si="3"/>
        <v>68</v>
      </c>
      <c r="X15" s="178">
        <f t="shared" si="4"/>
        <v>68</v>
      </c>
      <c r="Y15" s="176">
        <v>68</v>
      </c>
      <c r="Z15" s="176">
        <v>68</v>
      </c>
    </row>
    <row r="16" spans="1:26" s="163" customFormat="1" ht="15.75" customHeight="1" hidden="1">
      <c r="A16" s="159" t="s">
        <v>191</v>
      </c>
      <c r="B16" s="102">
        <v>3</v>
      </c>
      <c r="C16" s="102">
        <v>0</v>
      </c>
      <c r="D16" s="102">
        <f t="shared" si="5"/>
        <v>3</v>
      </c>
      <c r="E16" s="102">
        <v>2</v>
      </c>
      <c r="F16" s="102"/>
      <c r="G16" s="102">
        <f t="shared" si="6"/>
        <v>3</v>
      </c>
      <c r="H16" s="102">
        <f t="shared" si="6"/>
        <v>0</v>
      </c>
      <c r="I16" s="102">
        <f t="shared" si="1"/>
        <v>3</v>
      </c>
      <c r="J16" s="102">
        <v>3</v>
      </c>
      <c r="K16" s="102">
        <v>0</v>
      </c>
      <c r="L16" s="102">
        <f t="shared" si="7"/>
        <v>3</v>
      </c>
      <c r="M16" s="102">
        <v>0.8</v>
      </c>
      <c r="N16" s="160">
        <f t="shared" si="9"/>
        <v>3</v>
      </c>
      <c r="O16" s="160">
        <f t="shared" si="10"/>
        <v>0</v>
      </c>
      <c r="P16" s="160">
        <f t="shared" si="8"/>
        <v>3</v>
      </c>
      <c r="Q16" s="161">
        <f>25</f>
        <v>25</v>
      </c>
      <c r="R16" s="161">
        <v>10</v>
      </c>
      <c r="S16" s="164">
        <v>170</v>
      </c>
      <c r="T16" s="176">
        <f t="shared" si="2"/>
        <v>12.75</v>
      </c>
      <c r="U16" s="177"/>
      <c r="V16" s="177"/>
      <c r="W16" s="178">
        <f t="shared" si="3"/>
        <v>12.75</v>
      </c>
      <c r="X16" s="178">
        <f t="shared" si="4"/>
        <v>12.75</v>
      </c>
      <c r="Y16" s="176">
        <v>12.75</v>
      </c>
      <c r="Z16" s="176">
        <v>12.75</v>
      </c>
    </row>
    <row r="17" spans="1:26" s="163" customFormat="1" ht="15.75" customHeight="1" hidden="1">
      <c r="A17" s="159" t="s">
        <v>192</v>
      </c>
      <c r="B17" s="102">
        <v>2</v>
      </c>
      <c r="C17" s="102">
        <v>0</v>
      </c>
      <c r="D17" s="102">
        <f t="shared" si="5"/>
        <v>2</v>
      </c>
      <c r="E17" s="102">
        <v>3</v>
      </c>
      <c r="F17" s="102"/>
      <c r="G17" s="102">
        <f t="shared" si="6"/>
        <v>2</v>
      </c>
      <c r="H17" s="102">
        <f t="shared" si="6"/>
        <v>0</v>
      </c>
      <c r="I17" s="102">
        <f t="shared" si="1"/>
        <v>2</v>
      </c>
      <c r="J17" s="102">
        <v>4</v>
      </c>
      <c r="K17" s="102">
        <v>0</v>
      </c>
      <c r="L17" s="102">
        <f t="shared" si="7"/>
        <v>4</v>
      </c>
      <c r="M17" s="102">
        <v>0.8</v>
      </c>
      <c r="N17" s="160">
        <f t="shared" si="9"/>
        <v>4</v>
      </c>
      <c r="O17" s="160">
        <f t="shared" si="10"/>
        <v>0</v>
      </c>
      <c r="P17" s="160">
        <f t="shared" si="8"/>
        <v>4</v>
      </c>
      <c r="Q17" s="161">
        <f>25</f>
        <v>25</v>
      </c>
      <c r="R17" s="161">
        <v>10</v>
      </c>
      <c r="S17" s="164">
        <v>170</v>
      </c>
      <c r="T17" s="176">
        <f t="shared" si="2"/>
        <v>17</v>
      </c>
      <c r="U17" s="177"/>
      <c r="V17" s="177"/>
      <c r="W17" s="178">
        <f t="shared" si="3"/>
        <v>17</v>
      </c>
      <c r="X17" s="178">
        <f t="shared" si="4"/>
        <v>17</v>
      </c>
      <c r="Y17" s="176">
        <v>17</v>
      </c>
      <c r="Z17" s="176">
        <v>17</v>
      </c>
    </row>
    <row r="18" spans="1:26" s="163" customFormat="1" ht="15.75" customHeight="1" hidden="1">
      <c r="A18" s="159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60"/>
      <c r="O18" s="160"/>
      <c r="P18" s="160"/>
      <c r="Q18" s="161"/>
      <c r="R18" s="161"/>
      <c r="S18" s="160"/>
      <c r="T18" s="176"/>
      <c r="U18" s="177"/>
      <c r="V18" s="177"/>
      <c r="W18" s="179"/>
      <c r="X18" s="179"/>
      <c r="Y18" s="176"/>
      <c r="Z18" s="176"/>
    </row>
    <row r="19" spans="1:26" s="163" customFormat="1" ht="15.75" customHeight="1">
      <c r="A19" s="159" t="s">
        <v>109</v>
      </c>
      <c r="B19" s="102">
        <f>B20+B21+B22</f>
        <v>292</v>
      </c>
      <c r="C19" s="102">
        <f aca="true" t="shared" si="11" ref="C19:K19">C20+C21+C22</f>
        <v>344</v>
      </c>
      <c r="D19" s="102">
        <f t="shared" si="11"/>
        <v>636</v>
      </c>
      <c r="E19" s="102">
        <f t="shared" si="11"/>
        <v>625</v>
      </c>
      <c r="F19" s="102">
        <v>627</v>
      </c>
      <c r="G19" s="102">
        <f t="shared" si="11"/>
        <v>292</v>
      </c>
      <c r="H19" s="102">
        <f t="shared" si="11"/>
        <v>344</v>
      </c>
      <c r="I19" s="102">
        <f>H19+G19</f>
        <v>636</v>
      </c>
      <c r="J19" s="102">
        <f t="shared" si="11"/>
        <v>244</v>
      </c>
      <c r="K19" s="102">
        <f t="shared" si="11"/>
        <v>393</v>
      </c>
      <c r="L19" s="102">
        <f>K19+J19</f>
        <v>637</v>
      </c>
      <c r="M19" s="102">
        <v>0.8</v>
      </c>
      <c r="N19" s="160">
        <f>N20+N21+N22</f>
        <v>204</v>
      </c>
      <c r="O19" s="160">
        <f>O20+O21+O22</f>
        <v>251</v>
      </c>
      <c r="P19" s="160">
        <f>P20+P21+P22</f>
        <v>455</v>
      </c>
      <c r="Q19" s="161">
        <v>25</v>
      </c>
      <c r="R19" s="161">
        <v>10</v>
      </c>
      <c r="S19" s="160">
        <v>170</v>
      </c>
      <c r="T19" s="176">
        <v>1293.6</v>
      </c>
      <c r="U19" s="162">
        <f>U20+U21+U22</f>
        <v>0</v>
      </c>
      <c r="V19" s="162">
        <f>V20+V21+V22</f>
        <v>0</v>
      </c>
      <c r="W19" s="162">
        <f>W20+W21+W22</f>
        <v>1293.7</v>
      </c>
      <c r="X19" s="162">
        <f>X20+X21+X22</f>
        <v>1293.7</v>
      </c>
      <c r="Y19" s="176">
        <v>1293.6</v>
      </c>
      <c r="Z19" s="176">
        <v>1293.6</v>
      </c>
    </row>
    <row r="20" spans="1:26" s="163" customFormat="1" ht="15.75" customHeight="1" hidden="1">
      <c r="A20" s="159" t="s">
        <v>193</v>
      </c>
      <c r="B20" s="102">
        <v>160</v>
      </c>
      <c r="C20" s="102">
        <v>205</v>
      </c>
      <c r="D20" s="102">
        <f>C20+B20</f>
        <v>365</v>
      </c>
      <c r="E20" s="102">
        <v>361</v>
      </c>
      <c r="F20" s="102"/>
      <c r="G20" s="102">
        <v>160</v>
      </c>
      <c r="H20" s="102">
        <v>205</v>
      </c>
      <c r="I20" s="102">
        <f>H20+G20</f>
        <v>365</v>
      </c>
      <c r="J20" s="102">
        <f>26+20+20+20+20+20</f>
        <v>126</v>
      </c>
      <c r="K20" s="102">
        <f>363-126</f>
        <v>237</v>
      </c>
      <c r="L20" s="102">
        <f>K20+J20</f>
        <v>363</v>
      </c>
      <c r="M20" s="102">
        <v>0.8</v>
      </c>
      <c r="N20" s="160">
        <v>108</v>
      </c>
      <c r="O20" s="160">
        <v>151</v>
      </c>
      <c r="P20" s="160">
        <f>O20+N20</f>
        <v>259</v>
      </c>
      <c r="Q20" s="161">
        <f>25</f>
        <v>25</v>
      </c>
      <c r="R20" s="161">
        <v>10</v>
      </c>
      <c r="S20" s="160">
        <v>170</v>
      </c>
      <c r="T20" s="176">
        <f>(Q20*N20+R20*O20)*S20/1000</f>
        <v>715.7</v>
      </c>
      <c r="U20" s="177"/>
      <c r="V20" s="177"/>
      <c r="W20" s="178">
        <f>T20</f>
        <v>715.7</v>
      </c>
      <c r="X20" s="178">
        <f>W20</f>
        <v>715.7</v>
      </c>
      <c r="Y20" s="176">
        <v>715.7</v>
      </c>
      <c r="Z20" s="176">
        <v>715.7</v>
      </c>
    </row>
    <row r="21" spans="1:26" s="163" customFormat="1" ht="15.75" customHeight="1" hidden="1">
      <c r="A21" s="159" t="s">
        <v>149</v>
      </c>
      <c r="B21" s="102">
        <v>66</v>
      </c>
      <c r="C21" s="102">
        <v>81</v>
      </c>
      <c r="D21" s="102">
        <f>C21+B21</f>
        <v>147</v>
      </c>
      <c r="E21" s="102">
        <f>145</f>
        <v>145</v>
      </c>
      <c r="F21" s="102"/>
      <c r="G21" s="102">
        <v>66</v>
      </c>
      <c r="H21" s="102">
        <v>81</v>
      </c>
      <c r="I21" s="102">
        <f>H21+G21</f>
        <v>147</v>
      </c>
      <c r="J21" s="102">
        <f>17+19+13+12</f>
        <v>61</v>
      </c>
      <c r="K21" s="102">
        <f>143-61</f>
        <v>82</v>
      </c>
      <c r="L21" s="102">
        <f>K21+J21</f>
        <v>143</v>
      </c>
      <c r="M21" s="102">
        <v>0.8</v>
      </c>
      <c r="N21" s="160">
        <v>51</v>
      </c>
      <c r="O21" s="160">
        <v>54</v>
      </c>
      <c r="P21" s="160">
        <f>O21+N21</f>
        <v>105</v>
      </c>
      <c r="Q21" s="161">
        <f>25</f>
        <v>25</v>
      </c>
      <c r="R21" s="161">
        <v>10</v>
      </c>
      <c r="S21" s="160">
        <v>170</v>
      </c>
      <c r="T21" s="176">
        <f>(Q21*N21+R21*O21)*S21/1000</f>
        <v>308.55</v>
      </c>
      <c r="U21" s="177"/>
      <c r="V21" s="177"/>
      <c r="W21" s="178">
        <f>T21</f>
        <v>308.55</v>
      </c>
      <c r="X21" s="178">
        <f>W21</f>
        <v>308.55</v>
      </c>
      <c r="Y21" s="176">
        <v>308.55</v>
      </c>
      <c r="Z21" s="176">
        <v>308.55</v>
      </c>
    </row>
    <row r="22" spans="1:26" s="163" customFormat="1" ht="15.75" customHeight="1" hidden="1">
      <c r="A22" s="159" t="s">
        <v>194</v>
      </c>
      <c r="B22" s="102">
        <v>66</v>
      </c>
      <c r="C22" s="102">
        <v>58</v>
      </c>
      <c r="D22" s="102">
        <f>C22+B22</f>
        <v>124</v>
      </c>
      <c r="E22" s="102">
        <f>64+18+37</f>
        <v>119</v>
      </c>
      <c r="F22" s="102"/>
      <c r="G22" s="102">
        <v>66</v>
      </c>
      <c r="H22" s="102">
        <v>58</v>
      </c>
      <c r="I22" s="102">
        <f>H22+G22</f>
        <v>124</v>
      </c>
      <c r="J22" s="102">
        <f>15+15+11+16</f>
        <v>57</v>
      </c>
      <c r="K22" s="102">
        <f>131-57</f>
        <v>74</v>
      </c>
      <c r="L22" s="102">
        <f>K22+J22</f>
        <v>131</v>
      </c>
      <c r="M22" s="102">
        <v>0.8</v>
      </c>
      <c r="N22" s="160">
        <v>45</v>
      </c>
      <c r="O22" s="160">
        <v>46</v>
      </c>
      <c r="P22" s="160">
        <f>O22+N22</f>
        <v>91</v>
      </c>
      <c r="Q22" s="161">
        <f>25</f>
        <v>25</v>
      </c>
      <c r="R22" s="161">
        <v>10</v>
      </c>
      <c r="S22" s="160">
        <v>170</v>
      </c>
      <c r="T22" s="176">
        <f>(Q22*N22+R22*O22)*S22/1000</f>
        <v>269.45</v>
      </c>
      <c r="U22" s="177"/>
      <c r="V22" s="177"/>
      <c r="W22" s="178">
        <f>T22</f>
        <v>269.45</v>
      </c>
      <c r="X22" s="178">
        <f>W22</f>
        <v>269.45</v>
      </c>
      <c r="Y22" s="176">
        <v>269.45</v>
      </c>
      <c r="Z22" s="176">
        <v>269.45</v>
      </c>
    </row>
    <row r="23" spans="1:26" s="163" customFormat="1" ht="15.75" customHeight="1" hidden="1">
      <c r="A23" s="15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60"/>
      <c r="O23" s="160"/>
      <c r="P23" s="160"/>
      <c r="Q23" s="161"/>
      <c r="R23" s="161"/>
      <c r="S23" s="160"/>
      <c r="T23" s="176"/>
      <c r="U23" s="177"/>
      <c r="V23" s="177"/>
      <c r="W23" s="179"/>
      <c r="X23" s="179"/>
      <c r="Y23" s="176"/>
      <c r="Z23" s="176"/>
    </row>
    <row r="24" spans="1:26" s="163" customFormat="1" ht="15.75" customHeight="1">
      <c r="A24" s="159" t="s">
        <v>116</v>
      </c>
      <c r="B24" s="102">
        <f>B25+B26+B27+B28+B29</f>
        <v>126</v>
      </c>
      <c r="C24" s="102">
        <f aca="true" t="shared" si="12" ref="C24:L24">C25+C26+C27+C28+C29</f>
        <v>193</v>
      </c>
      <c r="D24" s="102">
        <f t="shared" si="12"/>
        <v>319</v>
      </c>
      <c r="E24" s="102">
        <f t="shared" si="12"/>
        <v>319</v>
      </c>
      <c r="F24" s="102">
        <f t="shared" si="12"/>
        <v>0</v>
      </c>
      <c r="G24" s="102">
        <f t="shared" si="12"/>
        <v>126</v>
      </c>
      <c r="H24" s="102">
        <f t="shared" si="12"/>
        <v>193</v>
      </c>
      <c r="I24" s="102">
        <f t="shared" si="12"/>
        <v>319</v>
      </c>
      <c r="J24" s="102">
        <f t="shared" si="12"/>
        <v>128</v>
      </c>
      <c r="K24" s="102">
        <f t="shared" si="12"/>
        <v>195</v>
      </c>
      <c r="L24" s="102">
        <f t="shared" si="12"/>
        <v>323</v>
      </c>
      <c r="M24" s="102">
        <v>0.8</v>
      </c>
      <c r="N24" s="160">
        <f>N25+N26+N27+N28+N29</f>
        <v>88</v>
      </c>
      <c r="O24" s="160">
        <f>O25+O26+O27+O28+O29</f>
        <v>147</v>
      </c>
      <c r="P24" s="160">
        <f>P25+P26+P27+P28+P29</f>
        <v>235</v>
      </c>
      <c r="Q24" s="161">
        <v>25</v>
      </c>
      <c r="R24" s="161">
        <v>10</v>
      </c>
      <c r="S24" s="160">
        <v>170</v>
      </c>
      <c r="T24" s="176">
        <f>T25+T26+T27+T28+T29</f>
        <v>623.9000000000001</v>
      </c>
      <c r="U24" s="162">
        <f>U25+U26+U27+U28+U29</f>
        <v>0</v>
      </c>
      <c r="V24" s="162">
        <f>V25+V26+V27+V28+V29</f>
        <v>0</v>
      </c>
      <c r="W24" s="162">
        <f>W25+W26+W27+W28+W29</f>
        <v>623.9000000000001</v>
      </c>
      <c r="X24" s="162">
        <f>X25+X26+X27+X28+X29</f>
        <v>623.9000000000001</v>
      </c>
      <c r="Y24" s="176">
        <v>623.9000000000001</v>
      </c>
      <c r="Z24" s="176">
        <v>623.9000000000001</v>
      </c>
    </row>
    <row r="25" spans="1:26" s="163" customFormat="1" ht="15.75" customHeight="1" hidden="1">
      <c r="A25" s="159" t="s">
        <v>195</v>
      </c>
      <c r="B25" s="102">
        <v>108</v>
      </c>
      <c r="C25" s="102">
        <v>187</v>
      </c>
      <c r="D25" s="102">
        <f>C25+B25</f>
        <v>295</v>
      </c>
      <c r="E25" s="102">
        <v>299</v>
      </c>
      <c r="F25" s="102"/>
      <c r="G25" s="102">
        <v>108</v>
      </c>
      <c r="H25" s="102">
        <v>187</v>
      </c>
      <c r="I25" s="102">
        <f>H25+G25</f>
        <v>295</v>
      </c>
      <c r="J25" s="102">
        <v>111</v>
      </c>
      <c r="K25" s="102">
        <v>188</v>
      </c>
      <c r="L25" s="102">
        <f>K25+J25</f>
        <v>299</v>
      </c>
      <c r="M25" s="102">
        <v>0.8</v>
      </c>
      <c r="N25" s="160">
        <v>71</v>
      </c>
      <c r="O25" s="160">
        <v>141</v>
      </c>
      <c r="P25" s="160">
        <f>O25+N25</f>
        <v>212</v>
      </c>
      <c r="Q25" s="161">
        <f>25</f>
        <v>25</v>
      </c>
      <c r="R25" s="161">
        <v>10</v>
      </c>
      <c r="S25" s="160">
        <v>170</v>
      </c>
      <c r="T25" s="176">
        <f>(Q25*N25+R25*O25)*S25/1000</f>
        <v>541.45</v>
      </c>
      <c r="U25" s="177"/>
      <c r="V25" s="177"/>
      <c r="W25" s="178">
        <f>T25</f>
        <v>541.45</v>
      </c>
      <c r="X25" s="178">
        <f>W25</f>
        <v>541.45</v>
      </c>
      <c r="Y25" s="176">
        <v>541.45</v>
      </c>
      <c r="Z25" s="176">
        <v>541.45</v>
      </c>
    </row>
    <row r="26" spans="1:26" s="163" customFormat="1" ht="15.75" customHeight="1" hidden="1">
      <c r="A26" s="159" t="s">
        <v>196</v>
      </c>
      <c r="B26" s="102">
        <v>3</v>
      </c>
      <c r="C26" s="102">
        <v>6</v>
      </c>
      <c r="D26" s="102">
        <f>C26+B26</f>
        <v>9</v>
      </c>
      <c r="E26" s="102">
        <v>8</v>
      </c>
      <c r="F26" s="102"/>
      <c r="G26" s="102">
        <v>3</v>
      </c>
      <c r="H26" s="102">
        <v>6</v>
      </c>
      <c r="I26" s="102">
        <f>H26+G26</f>
        <v>9</v>
      </c>
      <c r="J26" s="102">
        <v>3</v>
      </c>
      <c r="K26" s="102">
        <v>7</v>
      </c>
      <c r="L26" s="102">
        <f>K26+J26</f>
        <v>10</v>
      </c>
      <c r="M26" s="102">
        <v>0.8</v>
      </c>
      <c r="N26" s="160">
        <f>J26</f>
        <v>3</v>
      </c>
      <c r="O26" s="160">
        <f>ROUND(K26*M26,0)</f>
        <v>6</v>
      </c>
      <c r="P26" s="160">
        <f>O26+N26</f>
        <v>9</v>
      </c>
      <c r="Q26" s="161">
        <f>25</f>
        <v>25</v>
      </c>
      <c r="R26" s="161">
        <v>10</v>
      </c>
      <c r="S26" s="160">
        <v>170</v>
      </c>
      <c r="T26" s="176">
        <f>(Q26*N26+R26*O26)*S26/1000</f>
        <v>22.95</v>
      </c>
      <c r="U26" s="177"/>
      <c r="V26" s="177"/>
      <c r="W26" s="178">
        <f>T26</f>
        <v>22.95</v>
      </c>
      <c r="X26" s="178">
        <f>W26</f>
        <v>22.95</v>
      </c>
      <c r="Y26" s="176">
        <v>22.95</v>
      </c>
      <c r="Z26" s="176">
        <v>22.95</v>
      </c>
    </row>
    <row r="27" spans="1:26" s="163" customFormat="1" ht="15.75" customHeight="1" hidden="1">
      <c r="A27" s="159" t="s">
        <v>197</v>
      </c>
      <c r="B27" s="102">
        <v>5</v>
      </c>
      <c r="C27" s="102">
        <v>0</v>
      </c>
      <c r="D27" s="102">
        <f>C27+B27</f>
        <v>5</v>
      </c>
      <c r="E27" s="102">
        <v>5</v>
      </c>
      <c r="F27" s="102"/>
      <c r="G27" s="102">
        <v>5</v>
      </c>
      <c r="H27" s="102">
        <v>0</v>
      </c>
      <c r="I27" s="102">
        <f>H27+G27</f>
        <v>5</v>
      </c>
      <c r="J27" s="102">
        <v>6</v>
      </c>
      <c r="K27" s="102">
        <v>0</v>
      </c>
      <c r="L27" s="102">
        <f>K27+J27</f>
        <v>6</v>
      </c>
      <c r="M27" s="102">
        <v>0.8</v>
      </c>
      <c r="N27" s="160">
        <f>J27</f>
        <v>6</v>
      </c>
      <c r="O27" s="160">
        <f>ROUND(K27*M27,0)</f>
        <v>0</v>
      </c>
      <c r="P27" s="160">
        <f>O27+N27</f>
        <v>6</v>
      </c>
      <c r="Q27" s="161">
        <f>25</f>
        <v>25</v>
      </c>
      <c r="R27" s="161">
        <v>10</v>
      </c>
      <c r="S27" s="160">
        <v>170</v>
      </c>
      <c r="T27" s="176">
        <f>(Q27*N27+R27*O27)*S27/1000</f>
        <v>25.5</v>
      </c>
      <c r="U27" s="177"/>
      <c r="V27" s="177"/>
      <c r="W27" s="178">
        <f>T27</f>
        <v>25.5</v>
      </c>
      <c r="X27" s="178">
        <f>W27</f>
        <v>25.5</v>
      </c>
      <c r="Y27" s="176">
        <v>25.5</v>
      </c>
      <c r="Z27" s="176">
        <v>25.5</v>
      </c>
    </row>
    <row r="28" spans="1:26" s="163" customFormat="1" ht="15.75" customHeight="1" hidden="1">
      <c r="A28" s="159" t="s">
        <v>198</v>
      </c>
      <c r="B28" s="102">
        <v>5</v>
      </c>
      <c r="C28" s="102">
        <v>0</v>
      </c>
      <c r="D28" s="102">
        <f>C28+B28</f>
        <v>5</v>
      </c>
      <c r="E28" s="102">
        <v>3</v>
      </c>
      <c r="F28" s="102"/>
      <c r="G28" s="102">
        <v>5</v>
      </c>
      <c r="H28" s="102">
        <v>0</v>
      </c>
      <c r="I28" s="102">
        <f>H28+G28</f>
        <v>5</v>
      </c>
      <c r="J28" s="102">
        <v>5</v>
      </c>
      <c r="K28" s="102">
        <v>0</v>
      </c>
      <c r="L28" s="102">
        <f>K28+J28</f>
        <v>5</v>
      </c>
      <c r="M28" s="102">
        <v>0.8</v>
      </c>
      <c r="N28" s="160">
        <f>J28</f>
        <v>5</v>
      </c>
      <c r="O28" s="160">
        <f>ROUND(K28*M28,0)</f>
        <v>0</v>
      </c>
      <c r="P28" s="160">
        <f>O28+N28</f>
        <v>5</v>
      </c>
      <c r="Q28" s="161">
        <f>25</f>
        <v>25</v>
      </c>
      <c r="R28" s="161">
        <v>10</v>
      </c>
      <c r="S28" s="160">
        <v>170</v>
      </c>
      <c r="T28" s="176">
        <f>(Q28*N28+R28*O28)*S28/1000</f>
        <v>21.25</v>
      </c>
      <c r="U28" s="177"/>
      <c r="V28" s="177"/>
      <c r="W28" s="178">
        <f>T28</f>
        <v>21.25</v>
      </c>
      <c r="X28" s="178">
        <f>W28</f>
        <v>21.25</v>
      </c>
      <c r="Y28" s="176">
        <v>21.25</v>
      </c>
      <c r="Z28" s="176">
        <v>21.25</v>
      </c>
    </row>
    <row r="29" spans="1:26" s="163" customFormat="1" ht="15.75" customHeight="1" hidden="1">
      <c r="A29" s="159" t="s">
        <v>199</v>
      </c>
      <c r="B29" s="102">
        <v>5</v>
      </c>
      <c r="C29" s="102">
        <v>0</v>
      </c>
      <c r="D29" s="102">
        <f>C29+B29</f>
        <v>5</v>
      </c>
      <c r="E29" s="102">
        <v>4</v>
      </c>
      <c r="F29" s="102"/>
      <c r="G29" s="102">
        <v>5</v>
      </c>
      <c r="H29" s="102">
        <v>0</v>
      </c>
      <c r="I29" s="102">
        <f>H29+G29</f>
        <v>5</v>
      </c>
      <c r="J29" s="102">
        <v>3</v>
      </c>
      <c r="K29" s="102">
        <v>0</v>
      </c>
      <c r="L29" s="102">
        <f>K29+J29</f>
        <v>3</v>
      </c>
      <c r="M29" s="102">
        <v>0.8</v>
      </c>
      <c r="N29" s="160">
        <f>J29</f>
        <v>3</v>
      </c>
      <c r="O29" s="160">
        <f>ROUND(K29*M29,0)</f>
        <v>0</v>
      </c>
      <c r="P29" s="160">
        <f>O29+N29</f>
        <v>3</v>
      </c>
      <c r="Q29" s="161">
        <f>25</f>
        <v>25</v>
      </c>
      <c r="R29" s="161">
        <v>10</v>
      </c>
      <c r="S29" s="160">
        <v>170</v>
      </c>
      <c r="T29" s="176">
        <f>(Q29*N29+R29*O29)*S29/1000</f>
        <v>12.75</v>
      </c>
      <c r="U29" s="177"/>
      <c r="V29" s="177"/>
      <c r="W29" s="178">
        <f>T29</f>
        <v>12.75</v>
      </c>
      <c r="X29" s="178">
        <f>W29</f>
        <v>12.75</v>
      </c>
      <c r="Y29" s="176">
        <v>12.75</v>
      </c>
      <c r="Z29" s="176">
        <v>12.75</v>
      </c>
    </row>
    <row r="30" spans="1:26" s="163" customFormat="1" ht="15.75" customHeight="1" hidden="1">
      <c r="A30" s="159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60"/>
      <c r="O30" s="160"/>
      <c r="P30" s="160"/>
      <c r="Q30" s="161"/>
      <c r="R30" s="161"/>
      <c r="S30" s="160"/>
      <c r="T30" s="176"/>
      <c r="U30" s="177"/>
      <c r="V30" s="177"/>
      <c r="W30" s="179"/>
      <c r="X30" s="179"/>
      <c r="Y30" s="176"/>
      <c r="Z30" s="176"/>
    </row>
    <row r="31" spans="1:26" s="163" customFormat="1" ht="15.75" customHeight="1">
      <c r="A31" s="159" t="s">
        <v>112</v>
      </c>
      <c r="B31" s="165">
        <f>B32+B33</f>
        <v>116</v>
      </c>
      <c r="C31" s="165">
        <f aca="true" t="shared" si="13" ref="C31:K31">C32+C33</f>
        <v>165</v>
      </c>
      <c r="D31" s="165">
        <f t="shared" si="13"/>
        <v>281</v>
      </c>
      <c r="E31" s="165">
        <f>E32+E33</f>
        <v>275</v>
      </c>
      <c r="F31" s="165">
        <v>270</v>
      </c>
      <c r="G31" s="165">
        <f t="shared" si="13"/>
        <v>116</v>
      </c>
      <c r="H31" s="165">
        <f t="shared" si="13"/>
        <v>165</v>
      </c>
      <c r="I31" s="102">
        <f>H31+G31</f>
        <v>281</v>
      </c>
      <c r="J31" s="165">
        <f t="shared" si="13"/>
        <v>117</v>
      </c>
      <c r="K31" s="165">
        <f t="shared" si="13"/>
        <v>167</v>
      </c>
      <c r="L31" s="102">
        <f>K31+J31</f>
        <v>284</v>
      </c>
      <c r="M31" s="102">
        <v>0.8</v>
      </c>
      <c r="N31" s="160">
        <f>N32+N33</f>
        <v>102</v>
      </c>
      <c r="O31" s="160">
        <f>O32+O33</f>
        <v>110</v>
      </c>
      <c r="P31" s="160">
        <f>P32+P33</f>
        <v>212</v>
      </c>
      <c r="Q31" s="161">
        <v>25</v>
      </c>
      <c r="R31" s="161">
        <v>10</v>
      </c>
      <c r="S31" s="164">
        <v>170</v>
      </c>
      <c r="T31" s="176">
        <f>T32+T33</f>
        <v>620.5</v>
      </c>
      <c r="U31" s="162">
        <f>U32+U33</f>
        <v>0</v>
      </c>
      <c r="V31" s="162">
        <f>V32+V33</f>
        <v>0</v>
      </c>
      <c r="W31" s="162">
        <f>W32+W33</f>
        <v>620.5</v>
      </c>
      <c r="X31" s="162">
        <f>X32+X33</f>
        <v>620.5</v>
      </c>
      <c r="Y31" s="176">
        <v>620.5</v>
      </c>
      <c r="Z31" s="176">
        <v>620.5</v>
      </c>
    </row>
    <row r="32" spans="1:26" s="163" customFormat="1" ht="15.75" customHeight="1" hidden="1">
      <c r="A32" s="159" t="s">
        <v>200</v>
      </c>
      <c r="B32" s="165">
        <v>102</v>
      </c>
      <c r="C32" s="165">
        <v>146</v>
      </c>
      <c r="D32" s="102">
        <f>C32+B32</f>
        <v>248</v>
      </c>
      <c r="E32" s="165">
        <f>241+5</f>
        <v>246</v>
      </c>
      <c r="F32" s="165"/>
      <c r="G32" s="165">
        <v>102</v>
      </c>
      <c r="H32" s="165">
        <v>146</v>
      </c>
      <c r="I32" s="102">
        <f>H32+G32</f>
        <v>248</v>
      </c>
      <c r="J32" s="102">
        <v>103</v>
      </c>
      <c r="K32" s="102">
        <f>116+32</f>
        <v>148</v>
      </c>
      <c r="L32" s="102">
        <f>K32+J32</f>
        <v>251</v>
      </c>
      <c r="M32" s="102">
        <v>0.8</v>
      </c>
      <c r="N32" s="160">
        <v>88</v>
      </c>
      <c r="O32" s="160">
        <v>95</v>
      </c>
      <c r="P32" s="160">
        <f>O32+N32</f>
        <v>183</v>
      </c>
      <c r="Q32" s="161">
        <f>25</f>
        <v>25</v>
      </c>
      <c r="R32" s="161">
        <v>10</v>
      </c>
      <c r="S32" s="164">
        <v>170</v>
      </c>
      <c r="T32" s="176">
        <f>(Q32*N32+R32*O32)*S32/1000</f>
        <v>535.5</v>
      </c>
      <c r="U32" s="177"/>
      <c r="V32" s="177"/>
      <c r="W32" s="178">
        <f>T32</f>
        <v>535.5</v>
      </c>
      <c r="X32" s="178">
        <f>W32</f>
        <v>535.5</v>
      </c>
      <c r="Y32" s="176">
        <v>535.5</v>
      </c>
      <c r="Z32" s="176">
        <v>535.5</v>
      </c>
    </row>
    <row r="33" spans="1:26" s="163" customFormat="1" ht="15.75" customHeight="1" hidden="1">
      <c r="A33" s="159" t="s">
        <v>201</v>
      </c>
      <c r="B33" s="165">
        <v>14</v>
      </c>
      <c r="C33" s="165">
        <v>19</v>
      </c>
      <c r="D33" s="102">
        <f>C33+B33</f>
        <v>33</v>
      </c>
      <c r="E33" s="165">
        <v>29</v>
      </c>
      <c r="F33" s="165"/>
      <c r="G33" s="165">
        <v>14</v>
      </c>
      <c r="H33" s="165">
        <v>19</v>
      </c>
      <c r="I33" s="102">
        <f>H33+G33</f>
        <v>33</v>
      </c>
      <c r="J33" s="102">
        <v>14</v>
      </c>
      <c r="K33" s="102">
        <f>15+4</f>
        <v>19</v>
      </c>
      <c r="L33" s="102">
        <f>K33+J33</f>
        <v>33</v>
      </c>
      <c r="M33" s="102">
        <v>0.8</v>
      </c>
      <c r="N33" s="160">
        <f>J33</f>
        <v>14</v>
      </c>
      <c r="O33" s="160">
        <f>ROUND(K33*M33,0)</f>
        <v>15</v>
      </c>
      <c r="P33" s="160">
        <f>O33+N33</f>
        <v>29</v>
      </c>
      <c r="Q33" s="161">
        <f>25</f>
        <v>25</v>
      </c>
      <c r="R33" s="161">
        <v>10</v>
      </c>
      <c r="S33" s="164">
        <v>170</v>
      </c>
      <c r="T33" s="176">
        <f>(Q33*N33+R33*O33)*S33/1000</f>
        <v>85</v>
      </c>
      <c r="U33" s="177"/>
      <c r="V33" s="177"/>
      <c r="W33" s="178">
        <f>T33</f>
        <v>85</v>
      </c>
      <c r="X33" s="178">
        <f>W33</f>
        <v>85</v>
      </c>
      <c r="Y33" s="176">
        <v>85</v>
      </c>
      <c r="Z33" s="176">
        <v>85</v>
      </c>
    </row>
    <row r="34" spans="1:26" s="163" customFormat="1" ht="15.75" customHeight="1" hidden="1">
      <c r="A34" s="159"/>
      <c r="B34" s="165"/>
      <c r="C34" s="165"/>
      <c r="D34" s="102"/>
      <c r="E34" s="165"/>
      <c r="F34" s="165"/>
      <c r="G34" s="165"/>
      <c r="H34" s="165"/>
      <c r="I34" s="102"/>
      <c r="J34" s="102"/>
      <c r="K34" s="102"/>
      <c r="L34" s="102"/>
      <c r="M34" s="102"/>
      <c r="N34" s="160"/>
      <c r="O34" s="160"/>
      <c r="P34" s="160"/>
      <c r="Q34" s="161"/>
      <c r="R34" s="161"/>
      <c r="S34" s="164"/>
      <c r="T34" s="176"/>
      <c r="U34" s="177"/>
      <c r="V34" s="177"/>
      <c r="W34" s="179"/>
      <c r="X34" s="179"/>
      <c r="Y34" s="176"/>
      <c r="Z34" s="176"/>
    </row>
    <row r="35" spans="1:26" s="163" customFormat="1" ht="15.75" customHeight="1">
      <c r="A35" s="159" t="s">
        <v>117</v>
      </c>
      <c r="B35" s="165">
        <f>B40+B39+B38+B37+B36</f>
        <v>342</v>
      </c>
      <c r="C35" s="165">
        <f>C40+C39+C38+C37+C36</f>
        <v>476</v>
      </c>
      <c r="D35" s="165">
        <f>D40+D39+D38+D37+D36</f>
        <v>818</v>
      </c>
      <c r="E35" s="165">
        <f>E40+E39+E38+E37+E36</f>
        <v>784</v>
      </c>
      <c r="F35" s="165"/>
      <c r="G35" s="165">
        <f aca="true" t="shared" si="14" ref="G35:L35">G40+G39+G38+G37+G36</f>
        <v>342</v>
      </c>
      <c r="H35" s="165">
        <f t="shared" si="14"/>
        <v>476</v>
      </c>
      <c r="I35" s="165">
        <f t="shared" si="14"/>
        <v>818</v>
      </c>
      <c r="J35" s="165">
        <f t="shared" si="14"/>
        <v>300</v>
      </c>
      <c r="K35" s="165">
        <f t="shared" si="14"/>
        <v>434</v>
      </c>
      <c r="L35" s="165">
        <f t="shared" si="14"/>
        <v>734</v>
      </c>
      <c r="M35" s="102">
        <v>0.8</v>
      </c>
      <c r="N35" s="160">
        <f>N36+N37+N38+N39+N40</f>
        <v>214</v>
      </c>
      <c r="O35" s="160">
        <f>O36+O37+O38+O39+O40</f>
        <v>244</v>
      </c>
      <c r="P35" s="160">
        <f>P36+P37+P38+P39+P40</f>
        <v>458</v>
      </c>
      <c r="Q35" s="161">
        <v>25</v>
      </c>
      <c r="R35" s="161">
        <v>10</v>
      </c>
      <c r="S35" s="164">
        <v>170</v>
      </c>
      <c r="T35" s="176">
        <f>T36+T37+T38+T39+T40</f>
        <v>1324.3000000000002</v>
      </c>
      <c r="U35" s="162">
        <f>U36+U37+U38+U39+U40</f>
        <v>0</v>
      </c>
      <c r="V35" s="162">
        <f>V36+V37+V38+V39+V40</f>
        <v>0</v>
      </c>
      <c r="W35" s="162">
        <f>W36+W37+W38+W39+W40</f>
        <v>1324.3000000000002</v>
      </c>
      <c r="X35" s="162">
        <f>X36+X37+X38+X39+X40</f>
        <v>1324.3000000000002</v>
      </c>
      <c r="Y35" s="176">
        <v>1324.3000000000002</v>
      </c>
      <c r="Z35" s="176">
        <v>1324.3000000000002</v>
      </c>
    </row>
    <row r="36" spans="1:26" s="163" customFormat="1" ht="15.75" customHeight="1" hidden="1">
      <c r="A36" s="159" t="s">
        <v>202</v>
      </c>
      <c r="B36" s="165">
        <v>0</v>
      </c>
      <c r="C36" s="165">
        <v>75</v>
      </c>
      <c r="D36" s="102">
        <f>C36+B36</f>
        <v>75</v>
      </c>
      <c r="E36" s="165">
        <v>71</v>
      </c>
      <c r="F36" s="165"/>
      <c r="G36" s="165">
        <v>0</v>
      </c>
      <c r="H36" s="165">
        <v>75</v>
      </c>
      <c r="I36" s="102">
        <f>H36+G36</f>
        <v>75</v>
      </c>
      <c r="J36" s="102">
        <v>0</v>
      </c>
      <c r="K36" s="102">
        <v>70</v>
      </c>
      <c r="L36" s="102">
        <f>K36+J36</f>
        <v>70</v>
      </c>
      <c r="M36" s="102">
        <v>0.8</v>
      </c>
      <c r="N36" s="160">
        <f>J36</f>
        <v>0</v>
      </c>
      <c r="O36" s="160">
        <f>ROUND(K36*M36,0)</f>
        <v>56</v>
      </c>
      <c r="P36" s="160">
        <f>O36+N36</f>
        <v>56</v>
      </c>
      <c r="Q36" s="161">
        <f>25</f>
        <v>25</v>
      </c>
      <c r="R36" s="161">
        <v>10</v>
      </c>
      <c r="S36" s="164">
        <v>170</v>
      </c>
      <c r="T36" s="176">
        <f>(Q36*N36+R36*O36)*S36/1000</f>
        <v>95.2</v>
      </c>
      <c r="U36" s="177"/>
      <c r="V36" s="177"/>
      <c r="W36" s="178">
        <f>T36</f>
        <v>95.2</v>
      </c>
      <c r="X36" s="178">
        <f>W36</f>
        <v>95.2</v>
      </c>
      <c r="Y36" s="176">
        <v>95.2</v>
      </c>
      <c r="Z36" s="176">
        <v>95.2</v>
      </c>
    </row>
    <row r="37" spans="1:26" s="163" customFormat="1" ht="15.75" customHeight="1" hidden="1">
      <c r="A37" s="159" t="s">
        <v>203</v>
      </c>
      <c r="B37" s="165">
        <v>0</v>
      </c>
      <c r="C37" s="165">
        <v>294</v>
      </c>
      <c r="D37" s="102">
        <f>C37+B37</f>
        <v>294</v>
      </c>
      <c r="E37" s="165">
        <v>271</v>
      </c>
      <c r="F37" s="165"/>
      <c r="G37" s="165">
        <v>0</v>
      </c>
      <c r="H37" s="165">
        <v>294</v>
      </c>
      <c r="I37" s="102">
        <f>H37+G37</f>
        <v>294</v>
      </c>
      <c r="J37" s="102">
        <v>0</v>
      </c>
      <c r="K37" s="102">
        <f>286-20</f>
        <v>266</v>
      </c>
      <c r="L37" s="102">
        <f>K37+J37</f>
        <v>266</v>
      </c>
      <c r="M37" s="102">
        <v>0.8</v>
      </c>
      <c r="N37" s="160">
        <f>J37</f>
        <v>0</v>
      </c>
      <c r="O37" s="160">
        <v>110</v>
      </c>
      <c r="P37" s="160">
        <f>O37+N37</f>
        <v>110</v>
      </c>
      <c r="Q37" s="161">
        <f>25</f>
        <v>25</v>
      </c>
      <c r="R37" s="161">
        <v>10</v>
      </c>
      <c r="S37" s="164">
        <v>170</v>
      </c>
      <c r="T37" s="176">
        <f>(Q37*N37+R37*O37)*S37/1000</f>
        <v>187</v>
      </c>
      <c r="U37" s="177"/>
      <c r="V37" s="177"/>
      <c r="W37" s="178">
        <f>T37</f>
        <v>187</v>
      </c>
      <c r="X37" s="178">
        <f>W37</f>
        <v>187</v>
      </c>
      <c r="Y37" s="176">
        <v>187</v>
      </c>
      <c r="Z37" s="176">
        <v>187</v>
      </c>
    </row>
    <row r="38" spans="1:26" s="163" customFormat="1" ht="15.75" customHeight="1" hidden="1">
      <c r="A38" s="159" t="s">
        <v>204</v>
      </c>
      <c r="B38" s="165">
        <v>218</v>
      </c>
      <c r="C38" s="165">
        <v>0</v>
      </c>
      <c r="D38" s="102">
        <f>C38+B38</f>
        <v>218</v>
      </c>
      <c r="E38" s="165">
        <v>222</v>
      </c>
      <c r="F38" s="165"/>
      <c r="G38" s="165">
        <v>218</v>
      </c>
      <c r="H38" s="165">
        <v>0</v>
      </c>
      <c r="I38" s="102">
        <f>H38+G38</f>
        <v>218</v>
      </c>
      <c r="J38" s="102">
        <f>213-18</f>
        <v>195</v>
      </c>
      <c r="K38" s="102">
        <v>0</v>
      </c>
      <c r="L38" s="102">
        <f>K38+J38</f>
        <v>195</v>
      </c>
      <c r="M38" s="102">
        <v>0.8</v>
      </c>
      <c r="N38" s="160">
        <v>136</v>
      </c>
      <c r="O38" s="160">
        <f>ROUND(K38*M38,0)</f>
        <v>0</v>
      </c>
      <c r="P38" s="160">
        <f>O38+N38</f>
        <v>136</v>
      </c>
      <c r="Q38" s="161">
        <f>25</f>
        <v>25</v>
      </c>
      <c r="R38" s="161">
        <v>10</v>
      </c>
      <c r="S38" s="164">
        <v>170</v>
      </c>
      <c r="T38" s="176">
        <f>(Q38*N38+R38*O38)*S38/1000</f>
        <v>578</v>
      </c>
      <c r="U38" s="177"/>
      <c r="V38" s="177"/>
      <c r="W38" s="178">
        <f>T38</f>
        <v>578</v>
      </c>
      <c r="X38" s="178">
        <f>W38</f>
        <v>578</v>
      </c>
      <c r="Y38" s="176">
        <v>578</v>
      </c>
      <c r="Z38" s="176">
        <v>578</v>
      </c>
    </row>
    <row r="39" spans="1:26" s="163" customFormat="1" ht="15.75" customHeight="1" hidden="1">
      <c r="A39" s="159" t="s">
        <v>205</v>
      </c>
      <c r="B39" s="165">
        <v>38</v>
      </c>
      <c r="C39" s="165">
        <v>22</v>
      </c>
      <c r="D39" s="102">
        <f>C39+B39</f>
        <v>60</v>
      </c>
      <c r="E39" s="165">
        <v>61</v>
      </c>
      <c r="F39" s="165"/>
      <c r="G39" s="165">
        <v>38</v>
      </c>
      <c r="H39" s="165">
        <v>22</v>
      </c>
      <c r="I39" s="102">
        <f>H39+G39</f>
        <v>60</v>
      </c>
      <c r="J39" s="102">
        <f>38-3</f>
        <v>35</v>
      </c>
      <c r="K39" s="102">
        <f>62-35-4</f>
        <v>23</v>
      </c>
      <c r="L39" s="102">
        <f>K39+J39</f>
        <v>58</v>
      </c>
      <c r="M39" s="102">
        <v>0.8</v>
      </c>
      <c r="N39" s="160">
        <v>22</v>
      </c>
      <c r="O39" s="160">
        <f>ROUND(K39*M39,0)</f>
        <v>18</v>
      </c>
      <c r="P39" s="160">
        <f>O39+N39</f>
        <v>40</v>
      </c>
      <c r="Q39" s="161">
        <f>25</f>
        <v>25</v>
      </c>
      <c r="R39" s="161">
        <v>10</v>
      </c>
      <c r="S39" s="164">
        <v>170</v>
      </c>
      <c r="T39" s="176">
        <f>(Q39*N39+R39*O39)*S39/1000</f>
        <v>124.1</v>
      </c>
      <c r="U39" s="177"/>
      <c r="V39" s="177"/>
      <c r="W39" s="178">
        <f>T39</f>
        <v>124.1</v>
      </c>
      <c r="X39" s="178">
        <f>W39</f>
        <v>124.1</v>
      </c>
      <c r="Y39" s="176">
        <v>124.1</v>
      </c>
      <c r="Z39" s="176">
        <v>124.1</v>
      </c>
    </row>
    <row r="40" spans="1:26" s="163" customFormat="1" ht="15.75" customHeight="1" hidden="1">
      <c r="A40" s="159" t="s">
        <v>206</v>
      </c>
      <c r="B40" s="165">
        <v>86</v>
      </c>
      <c r="C40" s="165">
        <v>85</v>
      </c>
      <c r="D40" s="102">
        <f>C40+B40</f>
        <v>171</v>
      </c>
      <c r="E40" s="165">
        <v>159</v>
      </c>
      <c r="F40" s="165"/>
      <c r="G40" s="165">
        <v>86</v>
      </c>
      <c r="H40" s="165">
        <v>85</v>
      </c>
      <c r="I40" s="102">
        <f>H40+G40</f>
        <v>171</v>
      </c>
      <c r="J40" s="102">
        <f>77-7</f>
        <v>70</v>
      </c>
      <c r="K40" s="102">
        <f>161-70-16</f>
        <v>75</v>
      </c>
      <c r="L40" s="102">
        <f>K40+J40</f>
        <v>145</v>
      </c>
      <c r="M40" s="102">
        <v>0.8</v>
      </c>
      <c r="N40" s="160">
        <v>56</v>
      </c>
      <c r="O40" s="160">
        <f>ROUND(K40*M40,0)</f>
        <v>60</v>
      </c>
      <c r="P40" s="160">
        <f>O40+N40</f>
        <v>116</v>
      </c>
      <c r="Q40" s="161">
        <f>25</f>
        <v>25</v>
      </c>
      <c r="R40" s="161">
        <v>10</v>
      </c>
      <c r="S40" s="164">
        <v>170</v>
      </c>
      <c r="T40" s="176">
        <f>(Q40*N40+R40*O40)*S40/1000</f>
        <v>340</v>
      </c>
      <c r="U40" s="177"/>
      <c r="V40" s="177"/>
      <c r="W40" s="178">
        <f>T40</f>
        <v>340</v>
      </c>
      <c r="X40" s="178">
        <f>W40</f>
        <v>340</v>
      </c>
      <c r="Y40" s="176">
        <v>340</v>
      </c>
      <c r="Z40" s="176">
        <v>340</v>
      </c>
    </row>
    <row r="41" spans="1:26" s="163" customFormat="1" ht="15.75" customHeight="1" hidden="1">
      <c r="A41" s="159"/>
      <c r="B41" s="165"/>
      <c r="C41" s="165"/>
      <c r="D41" s="102"/>
      <c r="E41" s="165"/>
      <c r="F41" s="165"/>
      <c r="G41" s="165"/>
      <c r="H41" s="165"/>
      <c r="I41" s="102"/>
      <c r="J41" s="102"/>
      <c r="K41" s="102"/>
      <c r="L41" s="102"/>
      <c r="M41" s="102"/>
      <c r="N41" s="160"/>
      <c r="O41" s="160"/>
      <c r="P41" s="160"/>
      <c r="Q41" s="161"/>
      <c r="R41" s="161"/>
      <c r="S41" s="164"/>
      <c r="T41" s="176"/>
      <c r="U41" s="177"/>
      <c r="V41" s="177"/>
      <c r="W41" s="179"/>
      <c r="X41" s="179"/>
      <c r="Y41" s="176"/>
      <c r="Z41" s="176"/>
    </row>
    <row r="42" spans="1:26" s="163" customFormat="1" ht="15.75" customHeight="1">
      <c r="A42" s="159" t="s">
        <v>118</v>
      </c>
      <c r="B42" s="165">
        <f aca="true" t="shared" si="15" ref="B42:H42">B43+B44</f>
        <v>222</v>
      </c>
      <c r="C42" s="165">
        <f t="shared" si="15"/>
        <v>281</v>
      </c>
      <c r="D42" s="165">
        <f t="shared" si="15"/>
        <v>503</v>
      </c>
      <c r="E42" s="165">
        <f t="shared" si="15"/>
        <v>480</v>
      </c>
      <c r="F42" s="165">
        <f t="shared" si="15"/>
        <v>0</v>
      </c>
      <c r="G42" s="165">
        <f t="shared" si="15"/>
        <v>222</v>
      </c>
      <c r="H42" s="165">
        <f t="shared" si="15"/>
        <v>281</v>
      </c>
      <c r="I42" s="102">
        <f>H42+G42</f>
        <v>503</v>
      </c>
      <c r="J42" s="102">
        <f>J43+J44</f>
        <v>219</v>
      </c>
      <c r="K42" s="102">
        <f>K43+K44</f>
        <v>280</v>
      </c>
      <c r="L42" s="102">
        <f>K42+J42</f>
        <v>499</v>
      </c>
      <c r="M42" s="102">
        <v>0.8</v>
      </c>
      <c r="N42" s="160">
        <f>N43+N44</f>
        <v>173</v>
      </c>
      <c r="O42" s="160">
        <f>O43+O44</f>
        <v>159</v>
      </c>
      <c r="P42" s="160">
        <f>P43+P44</f>
        <v>332</v>
      </c>
      <c r="Q42" s="161">
        <v>25</v>
      </c>
      <c r="R42" s="161">
        <v>10</v>
      </c>
      <c r="S42" s="164">
        <v>170</v>
      </c>
      <c r="T42" s="176">
        <f>T43+T44</f>
        <v>1005.55</v>
      </c>
      <c r="U42" s="162">
        <f>U43+U44</f>
        <v>0</v>
      </c>
      <c r="V42" s="162">
        <f>V43+V44</f>
        <v>0</v>
      </c>
      <c r="W42" s="162">
        <f>W43+W44</f>
        <v>1005.55</v>
      </c>
      <c r="X42" s="162">
        <f>X43+X44</f>
        <v>1005.55</v>
      </c>
      <c r="Y42" s="176">
        <v>1005.55</v>
      </c>
      <c r="Z42" s="176">
        <v>1005.55</v>
      </c>
    </row>
    <row r="43" spans="1:26" s="163" customFormat="1" ht="15.75" customHeight="1" hidden="1">
      <c r="A43" s="159" t="s">
        <v>207</v>
      </c>
      <c r="B43" s="165">
        <v>171</v>
      </c>
      <c r="C43" s="165">
        <v>224</v>
      </c>
      <c r="D43" s="102">
        <f>C43+B43</f>
        <v>395</v>
      </c>
      <c r="E43" s="165">
        <f>353+15+11</f>
        <v>379</v>
      </c>
      <c r="F43" s="165">
        <v>0</v>
      </c>
      <c r="G43" s="102">
        <v>171</v>
      </c>
      <c r="H43" s="165">
        <v>224</v>
      </c>
      <c r="I43" s="102">
        <f>H43+G43</f>
        <v>395</v>
      </c>
      <c r="J43" s="102">
        <v>168</v>
      </c>
      <c r="K43" s="102">
        <f>181+42</f>
        <v>223</v>
      </c>
      <c r="L43" s="102">
        <f>K43+J43</f>
        <v>391</v>
      </c>
      <c r="M43" s="102">
        <v>0.8</v>
      </c>
      <c r="N43" s="160">
        <v>122</v>
      </c>
      <c r="O43" s="160">
        <v>113</v>
      </c>
      <c r="P43" s="160">
        <f>O43+N43</f>
        <v>235</v>
      </c>
      <c r="Q43" s="161">
        <f>25</f>
        <v>25</v>
      </c>
      <c r="R43" s="161">
        <v>10</v>
      </c>
      <c r="S43" s="164">
        <v>170</v>
      </c>
      <c r="T43" s="176">
        <f>(Q43*N43+R43*O43)*S43/1000</f>
        <v>710.6</v>
      </c>
      <c r="U43" s="177"/>
      <c r="V43" s="177"/>
      <c r="W43" s="178">
        <f>T43</f>
        <v>710.6</v>
      </c>
      <c r="X43" s="178">
        <f>W43</f>
        <v>710.6</v>
      </c>
      <c r="Y43" s="176">
        <v>710.6</v>
      </c>
      <c r="Z43" s="176">
        <v>710.6</v>
      </c>
    </row>
    <row r="44" spans="1:26" s="163" customFormat="1" ht="15.75" customHeight="1" hidden="1">
      <c r="A44" s="159" t="s">
        <v>150</v>
      </c>
      <c r="B44" s="165">
        <v>51</v>
      </c>
      <c r="C44" s="165">
        <v>57</v>
      </c>
      <c r="D44" s="102">
        <f>C44+B44</f>
        <v>108</v>
      </c>
      <c r="E44" s="165">
        <f>99+2</f>
        <v>101</v>
      </c>
      <c r="F44" s="165">
        <v>0</v>
      </c>
      <c r="G44" s="102">
        <v>51</v>
      </c>
      <c r="H44" s="165">
        <v>57</v>
      </c>
      <c r="I44" s="102">
        <f>H44+G44</f>
        <v>108</v>
      </c>
      <c r="J44" s="102">
        <v>51</v>
      </c>
      <c r="K44" s="102">
        <v>57</v>
      </c>
      <c r="L44" s="102">
        <f>K44+J44</f>
        <v>108</v>
      </c>
      <c r="M44" s="102">
        <v>0.8</v>
      </c>
      <c r="N44" s="160">
        <f>J44</f>
        <v>51</v>
      </c>
      <c r="O44" s="160">
        <f>ROUND(K44*M44,0)</f>
        <v>46</v>
      </c>
      <c r="P44" s="160">
        <f>O44+N44</f>
        <v>97</v>
      </c>
      <c r="Q44" s="161">
        <f>25</f>
        <v>25</v>
      </c>
      <c r="R44" s="161">
        <v>10</v>
      </c>
      <c r="S44" s="164">
        <v>170</v>
      </c>
      <c r="T44" s="176">
        <f>(Q44*N44+R44*O44)*S44/1000</f>
        <v>294.95</v>
      </c>
      <c r="U44" s="177"/>
      <c r="V44" s="177"/>
      <c r="W44" s="178">
        <f>T44</f>
        <v>294.95</v>
      </c>
      <c r="X44" s="178">
        <f>W44</f>
        <v>294.95</v>
      </c>
      <c r="Y44" s="176">
        <v>294.95</v>
      </c>
      <c r="Z44" s="176">
        <v>294.95</v>
      </c>
    </row>
    <row r="45" spans="1:26" s="163" customFormat="1" ht="15.75" customHeight="1" hidden="1">
      <c r="A45" s="159"/>
      <c r="B45" s="165"/>
      <c r="C45" s="165"/>
      <c r="D45" s="102"/>
      <c r="E45" s="165"/>
      <c r="F45" s="165"/>
      <c r="G45" s="102"/>
      <c r="H45" s="165"/>
      <c r="I45" s="102"/>
      <c r="J45" s="102"/>
      <c r="K45" s="102"/>
      <c r="L45" s="102"/>
      <c r="M45" s="102"/>
      <c r="N45" s="160"/>
      <c r="O45" s="160"/>
      <c r="P45" s="160"/>
      <c r="Q45" s="161"/>
      <c r="R45" s="161"/>
      <c r="S45" s="164"/>
      <c r="T45" s="176"/>
      <c r="U45" s="177"/>
      <c r="V45" s="177"/>
      <c r="W45" s="179"/>
      <c r="X45" s="179"/>
      <c r="Y45" s="176"/>
      <c r="Z45" s="176"/>
    </row>
    <row r="46" spans="1:26" s="163" customFormat="1" ht="15.75" customHeight="1">
      <c r="A46" s="159" t="s">
        <v>119</v>
      </c>
      <c r="B46" s="165">
        <v>342</v>
      </c>
      <c r="C46" s="165">
        <v>482</v>
      </c>
      <c r="D46" s="165">
        <f aca="true" t="shared" si="16" ref="D46:D52">C46+B46</f>
        <v>824</v>
      </c>
      <c r="E46" s="165">
        <f>SUM(E47:E52)</f>
        <v>798</v>
      </c>
      <c r="F46" s="165">
        <f>SUM(F47:F52)</f>
        <v>798</v>
      </c>
      <c r="G46" s="102">
        <v>342</v>
      </c>
      <c r="H46" s="165">
        <v>464</v>
      </c>
      <c r="I46" s="102">
        <f>H46+G46</f>
        <v>806</v>
      </c>
      <c r="J46" s="165">
        <f>SUM(J47:J52)</f>
        <v>327</v>
      </c>
      <c r="K46" s="165">
        <f>SUM(K47:K52)</f>
        <v>498</v>
      </c>
      <c r="L46" s="165">
        <f>SUM(L47:L52)</f>
        <v>825</v>
      </c>
      <c r="M46" s="102">
        <v>0.8</v>
      </c>
      <c r="N46" s="160">
        <f>N47+N48+N49+N50+N51+N52</f>
        <v>231</v>
      </c>
      <c r="O46" s="160">
        <f>O47+O48+O49+O50+O51+O52</f>
        <v>357</v>
      </c>
      <c r="P46" s="160">
        <f>P47+P48+P49+P50+P51+P52</f>
        <v>588</v>
      </c>
      <c r="Q46" s="161">
        <v>25</v>
      </c>
      <c r="R46" s="161">
        <v>10</v>
      </c>
      <c r="S46" s="164">
        <v>170</v>
      </c>
      <c r="T46" s="176">
        <f>SUM(T47:T52)</f>
        <v>1588.65</v>
      </c>
      <c r="U46" s="162">
        <f>SUM(U47:U52)</f>
        <v>0</v>
      </c>
      <c r="V46" s="162">
        <f>SUM(V47:V52)</f>
        <v>0</v>
      </c>
      <c r="W46" s="162">
        <f>SUM(W47:W52)</f>
        <v>1588.65</v>
      </c>
      <c r="X46" s="162">
        <f>SUM(X47:X52)</f>
        <v>1588.65</v>
      </c>
      <c r="Y46" s="176">
        <v>1588.65</v>
      </c>
      <c r="Z46" s="176">
        <v>1588.65</v>
      </c>
    </row>
    <row r="47" spans="1:26" s="163" customFormat="1" ht="15.75" customHeight="1" hidden="1">
      <c r="A47" s="159" t="s">
        <v>208</v>
      </c>
      <c r="B47" s="165"/>
      <c r="C47" s="165"/>
      <c r="D47" s="102">
        <f t="shared" si="16"/>
        <v>0</v>
      </c>
      <c r="E47" s="165">
        <f>275+13</f>
        <v>288</v>
      </c>
      <c r="F47" s="165">
        <v>288</v>
      </c>
      <c r="G47" s="102"/>
      <c r="H47" s="165"/>
      <c r="I47" s="102"/>
      <c r="J47" s="165">
        <v>117</v>
      </c>
      <c r="K47" s="165">
        <v>183</v>
      </c>
      <c r="L47" s="102">
        <f aca="true" t="shared" si="17" ref="L47:L52">K47+J47</f>
        <v>300</v>
      </c>
      <c r="M47" s="102">
        <v>0.8</v>
      </c>
      <c r="N47" s="160">
        <v>89</v>
      </c>
      <c r="O47" s="160">
        <v>122</v>
      </c>
      <c r="P47" s="160">
        <f aca="true" t="shared" si="18" ref="P47:P52">O47+N47</f>
        <v>211</v>
      </c>
      <c r="Q47" s="161">
        <f>25</f>
        <v>25</v>
      </c>
      <c r="R47" s="161">
        <v>10</v>
      </c>
      <c r="S47" s="164">
        <v>170</v>
      </c>
      <c r="T47" s="176">
        <f aca="true" t="shared" si="19" ref="T47:T52">(Q47*N47+R47*O47)*S47/1000</f>
        <v>585.65</v>
      </c>
      <c r="U47" s="177"/>
      <c r="V47" s="177"/>
      <c r="W47" s="178">
        <f aca="true" t="shared" si="20" ref="W47:W53">T47</f>
        <v>585.65</v>
      </c>
      <c r="X47" s="178">
        <f aca="true" t="shared" si="21" ref="X47:X60">W47</f>
        <v>585.65</v>
      </c>
      <c r="Y47" s="176">
        <v>585.65</v>
      </c>
      <c r="Z47" s="176">
        <v>585.65</v>
      </c>
    </row>
    <row r="48" spans="1:26" s="163" customFormat="1" ht="15.75" customHeight="1" hidden="1">
      <c r="A48" s="159" t="s">
        <v>209</v>
      </c>
      <c r="B48" s="165"/>
      <c r="C48" s="165"/>
      <c r="D48" s="102">
        <f t="shared" si="16"/>
        <v>0</v>
      </c>
      <c r="E48" s="165">
        <f>240+6</f>
        <v>246</v>
      </c>
      <c r="F48" s="165">
        <v>246</v>
      </c>
      <c r="G48" s="102"/>
      <c r="H48" s="165"/>
      <c r="I48" s="102"/>
      <c r="J48" s="102">
        <v>98</v>
      </c>
      <c r="K48" s="102">
        <v>157</v>
      </c>
      <c r="L48" s="102">
        <f t="shared" si="17"/>
        <v>255</v>
      </c>
      <c r="M48" s="102">
        <v>0.8</v>
      </c>
      <c r="N48" s="160">
        <v>63</v>
      </c>
      <c r="O48" s="160">
        <f>ROUND(K48*M48,0)</f>
        <v>126</v>
      </c>
      <c r="P48" s="160">
        <f t="shared" si="18"/>
        <v>189</v>
      </c>
      <c r="Q48" s="161">
        <f>25</f>
        <v>25</v>
      </c>
      <c r="R48" s="161">
        <v>10</v>
      </c>
      <c r="S48" s="164">
        <v>170</v>
      </c>
      <c r="T48" s="176">
        <f t="shared" si="19"/>
        <v>481.95</v>
      </c>
      <c r="U48" s="177"/>
      <c r="V48" s="177"/>
      <c r="W48" s="178">
        <f t="shared" si="20"/>
        <v>481.95</v>
      </c>
      <c r="X48" s="178">
        <f t="shared" si="21"/>
        <v>481.95</v>
      </c>
      <c r="Y48" s="176">
        <v>481.95</v>
      </c>
      <c r="Z48" s="176">
        <v>481.95</v>
      </c>
    </row>
    <row r="49" spans="1:26" s="163" customFormat="1" ht="15.75" customHeight="1" hidden="1">
      <c r="A49" s="159" t="s">
        <v>210</v>
      </c>
      <c r="B49" s="165"/>
      <c r="C49" s="165"/>
      <c r="D49" s="102">
        <f t="shared" si="16"/>
        <v>0</v>
      </c>
      <c r="E49" s="165">
        <f>202+7</f>
        <v>209</v>
      </c>
      <c r="F49" s="165">
        <v>209</v>
      </c>
      <c r="G49" s="102"/>
      <c r="H49" s="165"/>
      <c r="I49" s="102"/>
      <c r="J49" s="102">
        <v>86</v>
      </c>
      <c r="K49" s="102">
        <v>130</v>
      </c>
      <c r="L49" s="102">
        <f t="shared" si="17"/>
        <v>216</v>
      </c>
      <c r="M49" s="102">
        <v>0.8</v>
      </c>
      <c r="N49" s="160">
        <v>52</v>
      </c>
      <c r="O49" s="160">
        <v>87</v>
      </c>
      <c r="P49" s="160">
        <f t="shared" si="18"/>
        <v>139</v>
      </c>
      <c r="Q49" s="161">
        <f>25</f>
        <v>25</v>
      </c>
      <c r="R49" s="161">
        <v>10</v>
      </c>
      <c r="S49" s="164">
        <v>170</v>
      </c>
      <c r="T49" s="176">
        <f t="shared" si="19"/>
        <v>368.9</v>
      </c>
      <c r="U49" s="177"/>
      <c r="V49" s="177"/>
      <c r="W49" s="178">
        <f t="shared" si="20"/>
        <v>368.9</v>
      </c>
      <c r="X49" s="178">
        <f t="shared" si="21"/>
        <v>368.9</v>
      </c>
      <c r="Y49" s="176">
        <v>368.9</v>
      </c>
      <c r="Z49" s="176">
        <v>368.9</v>
      </c>
    </row>
    <row r="50" spans="1:26" s="163" customFormat="1" ht="15.75" customHeight="1" hidden="1">
      <c r="A50" s="159" t="s">
        <v>151</v>
      </c>
      <c r="B50" s="165"/>
      <c r="C50" s="165"/>
      <c r="D50" s="102">
        <f t="shared" si="16"/>
        <v>0</v>
      </c>
      <c r="E50" s="165">
        <v>42</v>
      </c>
      <c r="F50" s="165">
        <v>42</v>
      </c>
      <c r="G50" s="102"/>
      <c r="H50" s="165"/>
      <c r="I50" s="102"/>
      <c r="J50" s="102">
        <v>18</v>
      </c>
      <c r="K50" s="102">
        <v>25</v>
      </c>
      <c r="L50" s="102">
        <f t="shared" si="17"/>
        <v>43</v>
      </c>
      <c r="M50" s="102">
        <v>0.8</v>
      </c>
      <c r="N50" s="160">
        <f>J50</f>
        <v>18</v>
      </c>
      <c r="O50" s="160">
        <f>ROUND(K50*M50,0)</f>
        <v>20</v>
      </c>
      <c r="P50" s="160">
        <f t="shared" si="18"/>
        <v>38</v>
      </c>
      <c r="Q50" s="161">
        <f>25</f>
        <v>25</v>
      </c>
      <c r="R50" s="161">
        <v>10</v>
      </c>
      <c r="S50" s="164">
        <v>170</v>
      </c>
      <c r="T50" s="176">
        <f t="shared" si="19"/>
        <v>110.5</v>
      </c>
      <c r="U50" s="177"/>
      <c r="V50" s="177"/>
      <c r="W50" s="178">
        <f t="shared" si="20"/>
        <v>110.5</v>
      </c>
      <c r="X50" s="178">
        <f t="shared" si="21"/>
        <v>110.5</v>
      </c>
      <c r="Y50" s="176">
        <v>110.5</v>
      </c>
      <c r="Z50" s="176">
        <v>110.5</v>
      </c>
    </row>
    <row r="51" spans="1:26" s="163" customFormat="1" ht="15.75" customHeight="1" hidden="1">
      <c r="A51" s="159" t="s">
        <v>211</v>
      </c>
      <c r="B51" s="165"/>
      <c r="C51" s="165"/>
      <c r="D51" s="102">
        <f t="shared" si="16"/>
        <v>0</v>
      </c>
      <c r="E51" s="165">
        <v>11</v>
      </c>
      <c r="F51" s="165">
        <v>11</v>
      </c>
      <c r="G51" s="102"/>
      <c r="H51" s="165"/>
      <c r="I51" s="102"/>
      <c r="J51" s="102">
        <v>5</v>
      </c>
      <c r="K51" s="102">
        <v>3</v>
      </c>
      <c r="L51" s="102">
        <f t="shared" si="17"/>
        <v>8</v>
      </c>
      <c r="M51" s="102">
        <v>0.8</v>
      </c>
      <c r="N51" s="160">
        <v>6</v>
      </c>
      <c r="O51" s="160">
        <v>2</v>
      </c>
      <c r="P51" s="160">
        <f t="shared" si="18"/>
        <v>8</v>
      </c>
      <c r="Q51" s="161">
        <f>25</f>
        <v>25</v>
      </c>
      <c r="R51" s="161">
        <v>10</v>
      </c>
      <c r="S51" s="164">
        <v>170</v>
      </c>
      <c r="T51" s="176">
        <f t="shared" si="19"/>
        <v>28.9</v>
      </c>
      <c r="U51" s="177"/>
      <c r="V51" s="177"/>
      <c r="W51" s="178">
        <f t="shared" si="20"/>
        <v>28.9</v>
      </c>
      <c r="X51" s="178">
        <f t="shared" si="21"/>
        <v>28.9</v>
      </c>
      <c r="Y51" s="176">
        <v>28.9</v>
      </c>
      <c r="Z51" s="176">
        <v>28.9</v>
      </c>
    </row>
    <row r="52" spans="1:26" s="163" customFormat="1" ht="15.75" customHeight="1" hidden="1">
      <c r="A52" s="159" t="s">
        <v>212</v>
      </c>
      <c r="B52" s="165"/>
      <c r="C52" s="165"/>
      <c r="D52" s="102">
        <f t="shared" si="16"/>
        <v>0</v>
      </c>
      <c r="E52" s="165">
        <v>2</v>
      </c>
      <c r="F52" s="165">
        <v>2</v>
      </c>
      <c r="G52" s="102"/>
      <c r="H52" s="165"/>
      <c r="I52" s="102"/>
      <c r="J52" s="102">
        <v>3</v>
      </c>
      <c r="K52" s="102">
        <v>0</v>
      </c>
      <c r="L52" s="102">
        <f t="shared" si="17"/>
        <v>3</v>
      </c>
      <c r="M52" s="102">
        <v>0.8</v>
      </c>
      <c r="N52" s="160">
        <f>J52</f>
        <v>3</v>
      </c>
      <c r="O52" s="160">
        <f>ROUND(K52*M52,0)</f>
        <v>0</v>
      </c>
      <c r="P52" s="160">
        <f t="shared" si="18"/>
        <v>3</v>
      </c>
      <c r="Q52" s="161">
        <f>25</f>
        <v>25</v>
      </c>
      <c r="R52" s="161">
        <v>10</v>
      </c>
      <c r="S52" s="164">
        <v>170</v>
      </c>
      <c r="T52" s="176">
        <f t="shared" si="19"/>
        <v>12.75</v>
      </c>
      <c r="U52" s="177"/>
      <c r="V52" s="177"/>
      <c r="W52" s="178">
        <f t="shared" si="20"/>
        <v>12.75</v>
      </c>
      <c r="X52" s="178">
        <f t="shared" si="21"/>
        <v>12.75</v>
      </c>
      <c r="Y52" s="176">
        <v>12.75</v>
      </c>
      <c r="Z52" s="176">
        <v>12.75</v>
      </c>
    </row>
    <row r="53" spans="1:26" s="163" customFormat="1" ht="15.75" customHeight="1" hidden="1">
      <c r="A53" s="159"/>
      <c r="B53" s="165"/>
      <c r="C53" s="165"/>
      <c r="D53" s="102"/>
      <c r="E53" s="165"/>
      <c r="F53" s="165"/>
      <c r="G53" s="102"/>
      <c r="H53" s="165"/>
      <c r="I53" s="102"/>
      <c r="J53" s="102"/>
      <c r="K53" s="102"/>
      <c r="L53" s="102"/>
      <c r="M53" s="102"/>
      <c r="N53" s="160"/>
      <c r="O53" s="160"/>
      <c r="P53" s="160"/>
      <c r="Q53" s="161"/>
      <c r="R53" s="161"/>
      <c r="S53" s="164"/>
      <c r="T53" s="176"/>
      <c r="U53" s="177"/>
      <c r="V53" s="177"/>
      <c r="W53" s="178">
        <f t="shared" si="20"/>
        <v>0</v>
      </c>
      <c r="X53" s="178">
        <f t="shared" si="21"/>
        <v>0</v>
      </c>
      <c r="Y53" s="176"/>
      <c r="Z53" s="176"/>
    </row>
    <row r="54" spans="1:26" s="163" customFormat="1" ht="15.75" customHeight="1">
      <c r="A54" s="159" t="s">
        <v>120</v>
      </c>
      <c r="B54" s="165">
        <f>SUM(B55:B60)</f>
        <v>0</v>
      </c>
      <c r="C54" s="165">
        <f>SUM(C55:C60)</f>
        <v>0</v>
      </c>
      <c r="D54" s="165">
        <f>SUM(D55:D60)</f>
        <v>0</v>
      </c>
      <c r="E54" s="165">
        <f>SUM(E55:E60)</f>
        <v>1044</v>
      </c>
      <c r="F54" s="165">
        <v>1075</v>
      </c>
      <c r="G54" s="102"/>
      <c r="H54" s="165"/>
      <c r="I54" s="102"/>
      <c r="J54" s="165">
        <f>SUM(J55:J60)</f>
        <v>426</v>
      </c>
      <c r="K54" s="165">
        <f>SUM(K55:K60)</f>
        <v>634</v>
      </c>
      <c r="L54" s="165">
        <f>SUM(L55:L60)</f>
        <v>1060</v>
      </c>
      <c r="M54" s="102">
        <v>0.8</v>
      </c>
      <c r="N54" s="160">
        <f>SUM(N55:N60)</f>
        <v>265</v>
      </c>
      <c r="O54" s="160">
        <f>SUM(O55:O60)</f>
        <v>288</v>
      </c>
      <c r="P54" s="160">
        <f>SUM(P55:P60)</f>
        <v>553</v>
      </c>
      <c r="Q54" s="161">
        <v>25</v>
      </c>
      <c r="R54" s="161">
        <v>10</v>
      </c>
      <c r="S54" s="164">
        <v>170</v>
      </c>
      <c r="T54" s="176">
        <f>SUM(T55:T60)</f>
        <v>1615.85</v>
      </c>
      <c r="U54" s="162">
        <f>SUM(U55:U60)</f>
        <v>0</v>
      </c>
      <c r="V54" s="162">
        <f>SUM(V55:V60)</f>
        <v>0</v>
      </c>
      <c r="W54" s="162">
        <f>SUM(W55:W60)</f>
        <v>1615.85</v>
      </c>
      <c r="X54" s="162">
        <f>SUM(X55:X60)</f>
        <v>1615.85</v>
      </c>
      <c r="Y54" s="176">
        <v>1615.85</v>
      </c>
      <c r="Z54" s="176">
        <v>1615.85</v>
      </c>
    </row>
    <row r="55" spans="1:26" s="163" customFormat="1" ht="15.75" customHeight="1" hidden="1">
      <c r="A55" s="159" t="s">
        <v>213</v>
      </c>
      <c r="B55" s="165"/>
      <c r="C55" s="165"/>
      <c r="D55" s="102"/>
      <c r="E55" s="165">
        <f>321+8</f>
        <v>329</v>
      </c>
      <c r="F55" s="165"/>
      <c r="G55" s="102"/>
      <c r="H55" s="165"/>
      <c r="I55" s="102">
        <f aca="true" t="shared" si="22" ref="I55:I60">H55+G55</f>
        <v>0</v>
      </c>
      <c r="J55" s="102">
        <v>0</v>
      </c>
      <c r="K55" s="102">
        <v>336</v>
      </c>
      <c r="L55" s="102">
        <f aca="true" t="shared" si="23" ref="L55:L60">K55+J55</f>
        <v>336</v>
      </c>
      <c r="M55" s="102">
        <v>0.8</v>
      </c>
      <c r="N55" s="160">
        <f>J55</f>
        <v>0</v>
      </c>
      <c r="O55" s="160">
        <v>132</v>
      </c>
      <c r="P55" s="160">
        <f aca="true" t="shared" si="24" ref="P55:P60">O55+N55</f>
        <v>132</v>
      </c>
      <c r="Q55" s="161">
        <f>25</f>
        <v>25</v>
      </c>
      <c r="R55" s="161">
        <v>10</v>
      </c>
      <c r="S55" s="166">
        <v>170</v>
      </c>
      <c r="T55" s="176">
        <f aca="true" t="shared" si="25" ref="T55:T60">(Q55*N55+R55*O55)*S55/1000</f>
        <v>224.4</v>
      </c>
      <c r="U55" s="177"/>
      <c r="V55" s="177"/>
      <c r="W55" s="178">
        <f aca="true" t="shared" si="26" ref="W55:W60">T55</f>
        <v>224.4</v>
      </c>
      <c r="X55" s="178">
        <f t="shared" si="21"/>
        <v>224.4</v>
      </c>
      <c r="Y55" s="176">
        <v>224.4</v>
      </c>
      <c r="Z55" s="176"/>
    </row>
    <row r="56" spans="1:26" s="163" customFormat="1" ht="15.75" customHeight="1" hidden="1">
      <c r="A56" s="159" t="s">
        <v>214</v>
      </c>
      <c r="B56" s="165"/>
      <c r="C56" s="165"/>
      <c r="D56" s="102"/>
      <c r="E56" s="165">
        <v>199</v>
      </c>
      <c r="F56" s="165"/>
      <c r="G56" s="102"/>
      <c r="H56" s="165"/>
      <c r="I56" s="102">
        <f t="shared" si="22"/>
        <v>0</v>
      </c>
      <c r="J56" s="102">
        <v>194</v>
      </c>
      <c r="K56" s="102">
        <v>0</v>
      </c>
      <c r="L56" s="102">
        <f t="shared" si="23"/>
        <v>194</v>
      </c>
      <c r="M56" s="102">
        <v>0.8</v>
      </c>
      <c r="N56" s="160">
        <v>105</v>
      </c>
      <c r="O56" s="160">
        <f>ROUND(K56*M56,0)</f>
        <v>0</v>
      </c>
      <c r="P56" s="160">
        <f t="shared" si="24"/>
        <v>105</v>
      </c>
      <c r="Q56" s="161">
        <f>25</f>
        <v>25</v>
      </c>
      <c r="R56" s="161">
        <v>10</v>
      </c>
      <c r="S56" s="166">
        <v>170</v>
      </c>
      <c r="T56" s="176">
        <f t="shared" si="25"/>
        <v>446.25</v>
      </c>
      <c r="U56" s="177"/>
      <c r="V56" s="177"/>
      <c r="W56" s="178">
        <f t="shared" si="26"/>
        <v>446.25</v>
      </c>
      <c r="X56" s="178">
        <f t="shared" si="21"/>
        <v>446.25</v>
      </c>
      <c r="Y56" s="176">
        <v>446.25</v>
      </c>
      <c r="Z56" s="176"/>
    </row>
    <row r="57" spans="1:26" s="163" customFormat="1" ht="15.75" customHeight="1" hidden="1">
      <c r="A57" s="159" t="s">
        <v>215</v>
      </c>
      <c r="B57" s="165"/>
      <c r="C57" s="165"/>
      <c r="D57" s="102"/>
      <c r="E57" s="165">
        <f>270</f>
        <v>270</v>
      </c>
      <c r="F57" s="165"/>
      <c r="G57" s="102"/>
      <c r="H57" s="165"/>
      <c r="I57" s="102">
        <f t="shared" si="22"/>
        <v>0</v>
      </c>
      <c r="J57" s="102">
        <v>120</v>
      </c>
      <c r="K57" s="102">
        <v>155</v>
      </c>
      <c r="L57" s="102">
        <f t="shared" si="23"/>
        <v>275</v>
      </c>
      <c r="M57" s="102">
        <v>0.8</v>
      </c>
      <c r="N57" s="160">
        <v>68</v>
      </c>
      <c r="O57" s="160">
        <v>77</v>
      </c>
      <c r="P57" s="160">
        <f t="shared" si="24"/>
        <v>145</v>
      </c>
      <c r="Q57" s="161">
        <f>25</f>
        <v>25</v>
      </c>
      <c r="R57" s="161">
        <v>10</v>
      </c>
      <c r="S57" s="166">
        <v>170</v>
      </c>
      <c r="T57" s="176">
        <f t="shared" si="25"/>
        <v>419.9</v>
      </c>
      <c r="U57" s="177"/>
      <c r="V57" s="177"/>
      <c r="W57" s="178">
        <f t="shared" si="26"/>
        <v>419.9</v>
      </c>
      <c r="X57" s="178">
        <f t="shared" si="21"/>
        <v>419.9</v>
      </c>
      <c r="Y57" s="176">
        <v>419.9</v>
      </c>
      <c r="Z57" s="176"/>
    </row>
    <row r="58" spans="1:26" s="163" customFormat="1" ht="15.75" customHeight="1" hidden="1">
      <c r="A58" s="159" t="s">
        <v>216</v>
      </c>
      <c r="B58" s="165"/>
      <c r="C58" s="165"/>
      <c r="D58" s="102"/>
      <c r="E58" s="165">
        <f>174+7</f>
        <v>181</v>
      </c>
      <c r="F58" s="165"/>
      <c r="G58" s="102"/>
      <c r="H58" s="165"/>
      <c r="I58" s="102">
        <f t="shared" si="22"/>
        <v>0</v>
      </c>
      <c r="J58" s="102">
        <v>70</v>
      </c>
      <c r="K58" s="102">
        <v>116</v>
      </c>
      <c r="L58" s="102">
        <f t="shared" si="23"/>
        <v>186</v>
      </c>
      <c r="M58" s="102">
        <v>0.8</v>
      </c>
      <c r="N58" s="160">
        <v>53</v>
      </c>
      <c r="O58" s="160">
        <v>64</v>
      </c>
      <c r="P58" s="160">
        <f t="shared" si="24"/>
        <v>117</v>
      </c>
      <c r="Q58" s="161">
        <f>25</f>
        <v>25</v>
      </c>
      <c r="R58" s="161">
        <v>10</v>
      </c>
      <c r="S58" s="166">
        <v>170</v>
      </c>
      <c r="T58" s="176">
        <f t="shared" si="25"/>
        <v>334.05</v>
      </c>
      <c r="U58" s="177"/>
      <c r="V58" s="177"/>
      <c r="W58" s="178">
        <f t="shared" si="26"/>
        <v>334.05</v>
      </c>
      <c r="X58" s="178">
        <f t="shared" si="21"/>
        <v>334.05</v>
      </c>
      <c r="Y58" s="176">
        <v>334.05</v>
      </c>
      <c r="Z58" s="176"/>
    </row>
    <row r="59" spans="1:26" s="163" customFormat="1" ht="15.75" customHeight="1" hidden="1">
      <c r="A59" s="159" t="s">
        <v>152</v>
      </c>
      <c r="B59" s="165"/>
      <c r="C59" s="165"/>
      <c r="D59" s="102"/>
      <c r="E59" s="165">
        <v>61</v>
      </c>
      <c r="F59" s="165"/>
      <c r="G59" s="102"/>
      <c r="H59" s="165"/>
      <c r="I59" s="102">
        <f t="shared" si="22"/>
        <v>0</v>
      </c>
      <c r="J59" s="102">
        <v>38</v>
      </c>
      <c r="K59" s="102">
        <v>27</v>
      </c>
      <c r="L59" s="102">
        <f t="shared" si="23"/>
        <v>65</v>
      </c>
      <c r="M59" s="102">
        <v>0.8</v>
      </c>
      <c r="N59" s="160">
        <v>35</v>
      </c>
      <c r="O59" s="160">
        <v>15</v>
      </c>
      <c r="P59" s="160">
        <f t="shared" si="24"/>
        <v>50</v>
      </c>
      <c r="Q59" s="161">
        <f>25</f>
        <v>25</v>
      </c>
      <c r="R59" s="161">
        <v>10</v>
      </c>
      <c r="S59" s="166">
        <v>170</v>
      </c>
      <c r="T59" s="176">
        <f t="shared" si="25"/>
        <v>174.25</v>
      </c>
      <c r="U59" s="177"/>
      <c r="V59" s="177"/>
      <c r="W59" s="178">
        <f t="shared" si="26"/>
        <v>174.25</v>
      </c>
      <c r="X59" s="178">
        <f t="shared" si="21"/>
        <v>174.25</v>
      </c>
      <c r="Y59" s="176">
        <v>174.25</v>
      </c>
      <c r="Z59" s="176"/>
    </row>
    <row r="60" spans="1:26" s="163" customFormat="1" ht="15.75" customHeight="1" hidden="1">
      <c r="A60" s="159" t="s">
        <v>217</v>
      </c>
      <c r="B60" s="165"/>
      <c r="C60" s="165"/>
      <c r="D60" s="102"/>
      <c r="E60" s="165">
        <v>4</v>
      </c>
      <c r="F60" s="165"/>
      <c r="G60" s="102"/>
      <c r="H60" s="165"/>
      <c r="I60" s="102">
        <f t="shared" si="22"/>
        <v>0</v>
      </c>
      <c r="J60" s="102">
        <v>4</v>
      </c>
      <c r="K60" s="102">
        <v>0</v>
      </c>
      <c r="L60" s="102">
        <f t="shared" si="23"/>
        <v>4</v>
      </c>
      <c r="M60" s="102">
        <v>0.8</v>
      </c>
      <c r="N60" s="160">
        <f>J60</f>
        <v>4</v>
      </c>
      <c r="O60" s="160">
        <f>ROUND(K60*M60,0)</f>
        <v>0</v>
      </c>
      <c r="P60" s="160">
        <f t="shared" si="24"/>
        <v>4</v>
      </c>
      <c r="Q60" s="161">
        <f>25</f>
        <v>25</v>
      </c>
      <c r="R60" s="161">
        <v>10</v>
      </c>
      <c r="S60" s="166">
        <v>170</v>
      </c>
      <c r="T60" s="176">
        <f t="shared" si="25"/>
        <v>17</v>
      </c>
      <c r="U60" s="177"/>
      <c r="V60" s="177"/>
      <c r="W60" s="178">
        <f t="shared" si="26"/>
        <v>17</v>
      </c>
      <c r="X60" s="178">
        <f t="shared" si="21"/>
        <v>17</v>
      </c>
      <c r="Y60" s="176">
        <v>17</v>
      </c>
      <c r="Z60" s="176"/>
    </row>
    <row r="61" spans="1:26" s="163" customFormat="1" ht="15.75" customHeight="1" hidden="1">
      <c r="A61" s="167"/>
      <c r="B61" s="165"/>
      <c r="C61" s="165"/>
      <c r="D61" s="102"/>
      <c r="E61" s="165"/>
      <c r="F61" s="165"/>
      <c r="G61" s="165"/>
      <c r="H61" s="165"/>
      <c r="I61" s="102"/>
      <c r="J61" s="102"/>
      <c r="K61" s="102"/>
      <c r="L61" s="102"/>
      <c r="M61" s="102"/>
      <c r="N61" s="160"/>
      <c r="O61" s="160"/>
      <c r="P61" s="160"/>
      <c r="Q61" s="168"/>
      <c r="R61" s="168"/>
      <c r="S61" s="168"/>
      <c r="T61" s="176"/>
      <c r="U61" s="177"/>
      <c r="V61" s="177"/>
      <c r="W61" s="179"/>
      <c r="X61" s="179"/>
      <c r="Y61" s="176"/>
      <c r="Z61" s="176"/>
    </row>
    <row r="62" spans="1:26" s="173" customFormat="1" ht="21" customHeight="1">
      <c r="A62" s="169" t="s">
        <v>15</v>
      </c>
      <c r="B62" s="170"/>
      <c r="C62" s="170"/>
      <c r="D62" s="170"/>
      <c r="E62" s="170" t="e">
        <f>E54+E46+E42+E35+E31+E24+E19+E8+E7</f>
        <v>#REF!</v>
      </c>
      <c r="F62" s="170"/>
      <c r="G62" s="170" t="e">
        <f aca="true" t="shared" si="27" ref="G62:L62">G54+G46+G42+G35+G31+G24+G19+G8+G7</f>
        <v>#REF!</v>
      </c>
      <c r="H62" s="170" t="e">
        <f t="shared" si="27"/>
        <v>#REF!</v>
      </c>
      <c r="I62" s="170" t="e">
        <f t="shared" si="27"/>
        <v>#REF!</v>
      </c>
      <c r="J62" s="170" t="e">
        <f t="shared" si="27"/>
        <v>#REF!</v>
      </c>
      <c r="K62" s="170" t="e">
        <f t="shared" si="27"/>
        <v>#REF!</v>
      </c>
      <c r="L62" s="170" t="e">
        <f t="shared" si="27"/>
        <v>#REF!</v>
      </c>
      <c r="M62" s="170"/>
      <c r="N62" s="171">
        <f>N54+N46+N42+N35+N31+N24+N19+N8+N7</f>
        <v>4999</v>
      </c>
      <c r="O62" s="171">
        <f>O54+O46+O42+O35+O31+O24+O19+O8+O7</f>
        <v>4953</v>
      </c>
      <c r="P62" s="171">
        <f>P54+P46+P42+P35+P31+P24+P19+P8+P7</f>
        <v>9952</v>
      </c>
      <c r="Q62" s="172"/>
      <c r="R62" s="172"/>
      <c r="S62" s="172"/>
      <c r="T62" s="180">
        <v>29665.9</v>
      </c>
      <c r="U62" s="177" t="e">
        <f>U54+U46+U42+U35+U31+U24+U19+U8+U7</f>
        <v>#REF!</v>
      </c>
      <c r="V62" s="177" t="e">
        <f>V54+V46+V42+V35+V31+V24+V19+V8+V7</f>
        <v>#REF!</v>
      </c>
      <c r="W62" s="177" t="e">
        <f>W54+W46+W42+W35+W31+W24+W19+W8+W7</f>
        <v>#REF!</v>
      </c>
      <c r="X62" s="177" t="e">
        <f>X54+X46+X42+X35+X31+X24+X19+X8+X7</f>
        <v>#REF!</v>
      </c>
      <c r="Y62" s="180">
        <v>29665.9</v>
      </c>
      <c r="Z62" s="180">
        <v>29665.9</v>
      </c>
    </row>
    <row r="63" s="163" customFormat="1" ht="15.75">
      <c r="A63" s="174"/>
    </row>
    <row r="64" s="163" customFormat="1" ht="15.75">
      <c r="A64" s="175" t="s">
        <v>299</v>
      </c>
    </row>
    <row r="65" s="163" customFormat="1" ht="15.75">
      <c r="A65" s="174"/>
    </row>
    <row r="68" ht="15.75"/>
    <row r="69" ht="15.75"/>
    <row r="70" ht="15.75"/>
  </sheetData>
  <sheetProtection/>
  <mergeCells count="18">
    <mergeCell ref="Y5:Y6"/>
    <mergeCell ref="Z5:Z6"/>
    <mergeCell ref="A1:Z1"/>
    <mergeCell ref="A2:Z2"/>
    <mergeCell ref="V5:V6"/>
    <mergeCell ref="B5:D5"/>
    <mergeCell ref="E5:E6"/>
    <mergeCell ref="G5:I5"/>
    <mergeCell ref="J5:L5"/>
    <mergeCell ref="A5:A6"/>
    <mergeCell ref="W5:W6"/>
    <mergeCell ref="X5:X6"/>
    <mergeCell ref="A3:T3"/>
    <mergeCell ref="N5:P5"/>
    <mergeCell ref="Q5:R5"/>
    <mergeCell ref="S5:S6"/>
    <mergeCell ref="T5:T6"/>
    <mergeCell ref="U5:U6"/>
  </mergeCell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landscape" paperSize="9" scale="8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6.25390625" style="181" customWidth="1"/>
    <col min="2" max="2" width="21.25390625" style="181" customWidth="1"/>
    <col min="3" max="3" width="19.375" style="181" customWidth="1"/>
    <col min="4" max="4" width="20.75390625" style="181" customWidth="1"/>
    <col min="5" max="5" width="20.875" style="181" customWidth="1"/>
    <col min="6" max="6" width="20.375" style="181" customWidth="1"/>
    <col min="7" max="7" width="20.125" style="181" customWidth="1"/>
    <col min="8" max="8" width="13.375" style="181" hidden="1" customWidth="1"/>
    <col min="9" max="9" width="13.25390625" style="181" hidden="1" customWidth="1"/>
    <col min="10" max="11" width="20.125" style="181" customWidth="1"/>
    <col min="12" max="16384" width="9.125" style="181" customWidth="1"/>
  </cols>
  <sheetData>
    <row r="1" spans="1:11" ht="25.5" customHeight="1">
      <c r="A1" s="619" t="s">
        <v>107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ht="39.75" customHeight="1">
      <c r="A2" s="571" t="s">
        <v>313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11" ht="1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ht="15.75">
      <c r="K4" s="183" t="s">
        <v>30</v>
      </c>
    </row>
    <row r="5" spans="1:11" s="185" customFormat="1" ht="124.5" customHeight="1">
      <c r="A5" s="184" t="s">
        <v>304</v>
      </c>
      <c r="B5" s="184" t="s">
        <v>305</v>
      </c>
      <c r="C5" s="184" t="s">
        <v>306</v>
      </c>
      <c r="D5" s="157" t="s">
        <v>307</v>
      </c>
      <c r="E5" s="157" t="s">
        <v>308</v>
      </c>
      <c r="F5" s="157" t="s">
        <v>309</v>
      </c>
      <c r="G5" s="157" t="s">
        <v>314</v>
      </c>
      <c r="H5" s="157" t="s">
        <v>310</v>
      </c>
      <c r="I5" s="157" t="s">
        <v>311</v>
      </c>
      <c r="J5" s="157" t="s">
        <v>315</v>
      </c>
      <c r="K5" s="157" t="s">
        <v>330</v>
      </c>
    </row>
    <row r="6" spans="1:11" s="185" customFormat="1" ht="16.5" customHeight="1">
      <c r="A6" s="184">
        <v>1</v>
      </c>
      <c r="B6" s="184">
        <v>2</v>
      </c>
      <c r="C6" s="184">
        <v>3</v>
      </c>
      <c r="D6" s="157">
        <v>4</v>
      </c>
      <c r="E6" s="157">
        <v>5</v>
      </c>
      <c r="F6" s="157">
        <v>6</v>
      </c>
      <c r="G6" s="157">
        <v>7</v>
      </c>
      <c r="H6" s="186">
        <v>6</v>
      </c>
      <c r="I6" s="186">
        <v>7</v>
      </c>
      <c r="J6" s="157">
        <v>8</v>
      </c>
      <c r="K6" s="157">
        <v>9</v>
      </c>
    </row>
    <row r="7" spans="1:11" ht="15.75">
      <c r="A7" s="87" t="s">
        <v>10</v>
      </c>
      <c r="B7" s="180">
        <v>7112.5</v>
      </c>
      <c r="C7" s="180">
        <f>192.8+3856.1</f>
        <v>4048.9</v>
      </c>
      <c r="D7" s="180">
        <v>192.8</v>
      </c>
      <c r="E7" s="180">
        <v>7468.1</v>
      </c>
      <c r="F7" s="180">
        <v>355.6</v>
      </c>
      <c r="G7" s="180">
        <f>(B7*(C7-D7))/(E7-F7)</f>
        <v>3856.1</v>
      </c>
      <c r="H7" s="188">
        <f aca="true" t="shared" si="0" ref="H7:H15">E7</f>
        <v>7468.1</v>
      </c>
      <c r="I7" s="188">
        <f>H7</f>
        <v>7468.1</v>
      </c>
      <c r="J7" s="180">
        <v>3856.1</v>
      </c>
      <c r="K7" s="180">
        <v>3856.1</v>
      </c>
    </row>
    <row r="8" spans="1:11" ht="15.75">
      <c r="A8" s="87" t="s">
        <v>113</v>
      </c>
      <c r="B8" s="180">
        <v>7112.5</v>
      </c>
      <c r="C8" s="180">
        <f>30.2+604</f>
        <v>634.2</v>
      </c>
      <c r="D8" s="180">
        <v>30.2</v>
      </c>
      <c r="E8" s="180">
        <v>7468.1</v>
      </c>
      <c r="F8" s="180">
        <v>355.6</v>
      </c>
      <c r="G8" s="180">
        <f aca="true" t="shared" si="1" ref="G8:G15">(B8*(C8-D8))/(E8-F8)</f>
        <v>604</v>
      </c>
      <c r="H8" s="188">
        <f t="shared" si="0"/>
        <v>7468.1</v>
      </c>
      <c r="I8" s="188">
        <f aca="true" t="shared" si="2" ref="I8:I15">H8</f>
        <v>7468.1</v>
      </c>
      <c r="J8" s="180">
        <v>604</v>
      </c>
      <c r="K8" s="180">
        <v>604</v>
      </c>
    </row>
    <row r="9" spans="1:11" ht="15.75">
      <c r="A9" s="87" t="s">
        <v>109</v>
      </c>
      <c r="B9" s="180">
        <v>7112.5</v>
      </c>
      <c r="C9" s="180">
        <f>24.4+488.7</f>
        <v>513.1</v>
      </c>
      <c r="D9" s="180">
        <v>24.4</v>
      </c>
      <c r="E9" s="180">
        <v>7468.1</v>
      </c>
      <c r="F9" s="180">
        <v>355.6</v>
      </c>
      <c r="G9" s="180">
        <f t="shared" si="1"/>
        <v>488.70000000000005</v>
      </c>
      <c r="H9" s="188">
        <f t="shared" si="0"/>
        <v>7468.1</v>
      </c>
      <c r="I9" s="188">
        <f t="shared" si="2"/>
        <v>7468.1</v>
      </c>
      <c r="J9" s="180">
        <v>488.70000000000005</v>
      </c>
      <c r="K9" s="180">
        <v>488.70000000000005</v>
      </c>
    </row>
    <row r="10" spans="1:11" ht="15.75">
      <c r="A10" s="87" t="s">
        <v>116</v>
      </c>
      <c r="B10" s="180">
        <v>7112.5</v>
      </c>
      <c r="C10" s="180">
        <f>26.3+525</f>
        <v>551.3</v>
      </c>
      <c r="D10" s="180">
        <v>26.3</v>
      </c>
      <c r="E10" s="180">
        <v>7468.1</v>
      </c>
      <c r="F10" s="180">
        <v>355.6</v>
      </c>
      <c r="G10" s="180">
        <f t="shared" si="1"/>
        <v>525</v>
      </c>
      <c r="H10" s="188">
        <f t="shared" si="0"/>
        <v>7468.1</v>
      </c>
      <c r="I10" s="188">
        <f t="shared" si="2"/>
        <v>7468.1</v>
      </c>
      <c r="J10" s="180">
        <v>525</v>
      </c>
      <c r="K10" s="180">
        <v>525</v>
      </c>
    </row>
    <row r="11" spans="1:11" ht="15.75">
      <c r="A11" s="87" t="s">
        <v>112</v>
      </c>
      <c r="B11" s="180">
        <v>7112.5</v>
      </c>
      <c r="C11" s="180">
        <f>7.7+153.7</f>
        <v>161.39999999999998</v>
      </c>
      <c r="D11" s="180">
        <v>7.7</v>
      </c>
      <c r="E11" s="180">
        <v>7468.1</v>
      </c>
      <c r="F11" s="180">
        <v>355.6</v>
      </c>
      <c r="G11" s="180">
        <f t="shared" si="1"/>
        <v>153.7</v>
      </c>
      <c r="H11" s="188">
        <f t="shared" si="0"/>
        <v>7468.1</v>
      </c>
      <c r="I11" s="188">
        <f t="shared" si="2"/>
        <v>7468.1</v>
      </c>
      <c r="J11" s="180">
        <v>153.7</v>
      </c>
      <c r="K11" s="180">
        <v>153.7</v>
      </c>
    </row>
    <row r="12" spans="1:11" ht="15.75">
      <c r="A12" s="87" t="s">
        <v>117</v>
      </c>
      <c r="B12" s="180">
        <v>7112.5</v>
      </c>
      <c r="C12" s="180">
        <f>25.5+510.9</f>
        <v>536.4</v>
      </c>
      <c r="D12" s="180">
        <v>25.5</v>
      </c>
      <c r="E12" s="180">
        <v>7468.1</v>
      </c>
      <c r="F12" s="180">
        <v>355.6</v>
      </c>
      <c r="G12" s="180">
        <f t="shared" si="1"/>
        <v>510.9</v>
      </c>
      <c r="H12" s="188">
        <f t="shared" si="0"/>
        <v>7468.1</v>
      </c>
      <c r="I12" s="188">
        <f t="shared" si="2"/>
        <v>7468.1</v>
      </c>
      <c r="J12" s="180">
        <v>510.9</v>
      </c>
      <c r="K12" s="180">
        <v>510.9</v>
      </c>
    </row>
    <row r="13" spans="1:11" ht="15.75">
      <c r="A13" s="87" t="s">
        <v>118</v>
      </c>
      <c r="B13" s="180">
        <v>7112.5</v>
      </c>
      <c r="C13" s="180">
        <f>15.2+304.4</f>
        <v>319.59999999999997</v>
      </c>
      <c r="D13" s="180">
        <v>15.2</v>
      </c>
      <c r="E13" s="180">
        <v>7468.1</v>
      </c>
      <c r="F13" s="180">
        <v>355.6</v>
      </c>
      <c r="G13" s="180">
        <f t="shared" si="1"/>
        <v>304.4</v>
      </c>
      <c r="H13" s="188">
        <f t="shared" si="0"/>
        <v>7468.1</v>
      </c>
      <c r="I13" s="188">
        <f t="shared" si="2"/>
        <v>7468.1</v>
      </c>
      <c r="J13" s="180">
        <v>304.4</v>
      </c>
      <c r="K13" s="180">
        <v>304.4</v>
      </c>
    </row>
    <row r="14" spans="1:11" ht="15.75">
      <c r="A14" s="87" t="s">
        <v>119</v>
      </c>
      <c r="B14" s="180">
        <v>7112.5</v>
      </c>
      <c r="C14" s="180">
        <f>15+299.8</f>
        <v>314.8</v>
      </c>
      <c r="D14" s="180">
        <v>15</v>
      </c>
      <c r="E14" s="180">
        <v>7468.1</v>
      </c>
      <c r="F14" s="180">
        <v>355.6</v>
      </c>
      <c r="G14" s="180">
        <f t="shared" si="1"/>
        <v>299.8</v>
      </c>
      <c r="H14" s="188">
        <f t="shared" si="0"/>
        <v>7468.1</v>
      </c>
      <c r="I14" s="188">
        <f t="shared" si="2"/>
        <v>7468.1</v>
      </c>
      <c r="J14" s="180">
        <v>299.8</v>
      </c>
      <c r="K14" s="180">
        <v>299.8</v>
      </c>
    </row>
    <row r="15" spans="1:11" ht="15.75">
      <c r="A15" s="87" t="s">
        <v>120</v>
      </c>
      <c r="B15" s="180">
        <v>7112.5</v>
      </c>
      <c r="C15" s="180">
        <f>18.5+369.9</f>
        <v>388.4</v>
      </c>
      <c r="D15" s="180">
        <v>18.5</v>
      </c>
      <c r="E15" s="180">
        <v>7468.1</v>
      </c>
      <c r="F15" s="180">
        <v>355.6</v>
      </c>
      <c r="G15" s="180">
        <f t="shared" si="1"/>
        <v>369.9</v>
      </c>
      <c r="H15" s="188">
        <f t="shared" si="0"/>
        <v>7468.1</v>
      </c>
      <c r="I15" s="188">
        <f t="shared" si="2"/>
        <v>7468.1</v>
      </c>
      <c r="J15" s="180">
        <v>369.9</v>
      </c>
      <c r="K15" s="180">
        <v>369.9</v>
      </c>
    </row>
    <row r="16" spans="1:11" ht="21.75" customHeight="1">
      <c r="A16" s="187" t="s">
        <v>12</v>
      </c>
      <c r="B16" s="180">
        <v>7112.5</v>
      </c>
      <c r="C16" s="189">
        <f>SUM(C7:C15)</f>
        <v>7468.1</v>
      </c>
      <c r="D16" s="180">
        <f>SUM(D7:D15)</f>
        <v>355.59999999999997</v>
      </c>
      <c r="E16" s="180">
        <v>7468.1</v>
      </c>
      <c r="F16" s="180">
        <v>355.6</v>
      </c>
      <c r="G16" s="180">
        <f>SUM(G7:G15)</f>
        <v>7112.499999999999</v>
      </c>
      <c r="H16" s="180">
        <f>SUM(H7:H15)</f>
        <v>67212.9</v>
      </c>
      <c r="I16" s="180">
        <f>SUM(I7:I15)</f>
        <v>67212.9</v>
      </c>
      <c r="J16" s="180">
        <f>SUM(J7:J15)</f>
        <v>7112.499999999999</v>
      </c>
      <c r="K16" s="180">
        <f>SUM(K7:K15)</f>
        <v>7112.499999999999</v>
      </c>
    </row>
    <row r="17" ht="27" customHeight="1">
      <c r="A17" s="181" t="s">
        <v>312</v>
      </c>
    </row>
  </sheetData>
  <sheetProtection/>
  <mergeCells count="2">
    <mergeCell ref="A2:K2"/>
    <mergeCell ref="A1:K1"/>
  </mergeCell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U179"/>
  <sheetViews>
    <sheetView view="pageBreakPreview" zoomScale="81" zoomScaleSheetLayoutView="81" zoomScalePageLayoutView="0" workbookViewId="0" topLeftCell="A1">
      <selection activeCell="G22" sqref="G22"/>
    </sheetView>
  </sheetViews>
  <sheetFormatPr defaultColWidth="11.875" defaultRowHeight="12.75"/>
  <cols>
    <col min="1" max="1" width="40.375" style="58" customWidth="1"/>
    <col min="2" max="2" width="11.75390625" style="58" customWidth="1"/>
    <col min="3" max="3" width="15.00390625" style="58" customWidth="1"/>
    <col min="4" max="4" width="15.625" style="58" customWidth="1"/>
    <col min="5" max="5" width="14.25390625" style="58" customWidth="1"/>
    <col min="6" max="6" width="13.25390625" style="58" customWidth="1"/>
    <col min="7" max="7" width="18.875" style="58" customWidth="1"/>
    <col min="8" max="8" width="14.00390625" style="58" customWidth="1"/>
    <col min="9" max="9" width="8.375" style="58" hidden="1" customWidth="1"/>
    <col min="10" max="10" width="23.25390625" style="58" hidden="1" customWidth="1"/>
    <col min="11" max="11" width="25.625" style="58" hidden="1" customWidth="1"/>
    <col min="12" max="12" width="14.125" style="58" hidden="1" customWidth="1"/>
    <col min="13" max="16" width="12.00390625" style="58" hidden="1" customWidth="1"/>
    <col min="17" max="19" width="21.125" style="58" customWidth="1"/>
    <col min="20" max="20" width="8.625" style="58" customWidth="1"/>
    <col min="21" max="21" width="9.75390625" style="58" hidden="1" customWidth="1"/>
    <col min="22" max="22" width="15.625" style="58" customWidth="1"/>
    <col min="23" max="23" width="28.125" style="58" customWidth="1"/>
    <col min="24" max="24" width="19.25390625" style="58" customWidth="1"/>
    <col min="25" max="25" width="14.00390625" style="58" customWidth="1"/>
    <col min="26" max="26" width="27.375" style="58" customWidth="1"/>
    <col min="27" max="27" width="43.75390625" style="58" customWidth="1"/>
    <col min="28" max="28" width="13.125" style="58" customWidth="1"/>
    <col min="29" max="29" width="5.875" style="58" hidden="1" customWidth="1"/>
    <col min="30" max="30" width="25.75390625" style="58" customWidth="1"/>
    <col min="31" max="31" width="29.00390625" style="58" customWidth="1"/>
    <col min="32" max="32" width="30.125" style="58" customWidth="1"/>
    <col min="33" max="33" width="15.125" style="58" customWidth="1"/>
    <col min="34" max="34" width="24.25390625" style="58" customWidth="1"/>
    <col min="35" max="35" width="38.00390625" style="58" customWidth="1"/>
    <col min="36" max="36" width="14.125" style="58" customWidth="1"/>
    <col min="37" max="37" width="1.625" style="58" hidden="1" customWidth="1"/>
    <col min="38" max="38" width="19.00390625" style="58" customWidth="1"/>
    <col min="39" max="39" width="6.125" style="58" hidden="1" customWidth="1"/>
    <col min="40" max="40" width="5.00390625" style="58" hidden="1" customWidth="1"/>
    <col min="41" max="41" width="8.125" style="58" hidden="1" customWidth="1"/>
    <col min="42" max="42" width="2.75390625" style="58" hidden="1" customWidth="1"/>
    <col min="43" max="43" width="12.00390625" style="58" hidden="1" customWidth="1"/>
    <col min="44" max="44" width="4.875" style="58" hidden="1" customWidth="1"/>
    <col min="45" max="45" width="13.25390625" style="58" hidden="1" customWidth="1"/>
    <col min="46" max="46" width="22.875" style="58" customWidth="1"/>
    <col min="47" max="47" width="18.625" style="58" customWidth="1"/>
    <col min="48" max="48" width="18.375" style="58" customWidth="1"/>
    <col min="49" max="49" width="15.00390625" style="58" customWidth="1"/>
    <col min="50" max="50" width="14.625" style="58" customWidth="1"/>
    <col min="51" max="51" width="18.25390625" style="58" customWidth="1"/>
    <col min="52" max="52" width="34.875" style="58" customWidth="1"/>
    <col min="53" max="53" width="15.625" style="58" customWidth="1"/>
    <col min="54" max="54" width="9.125" style="58" hidden="1" customWidth="1"/>
    <col min="55" max="55" width="12.875" style="58" customWidth="1"/>
    <col min="56" max="56" width="19.875" style="58" customWidth="1"/>
    <col min="57" max="57" width="2.875" style="58" hidden="1" customWidth="1"/>
    <col min="58" max="59" width="13.00390625" style="58" customWidth="1"/>
    <col min="60" max="60" width="12.00390625" style="58" customWidth="1"/>
    <col min="61" max="61" width="12.875" style="58" customWidth="1"/>
    <col min="62" max="62" width="12.00390625" style="58" customWidth="1"/>
    <col min="63" max="63" width="13.875" style="58" customWidth="1"/>
    <col min="64" max="64" width="29.375" style="58" customWidth="1"/>
    <col min="65" max="65" width="8.125" style="58" customWidth="1"/>
    <col min="66" max="66" width="1.12109375" style="58" hidden="1" customWidth="1"/>
    <col min="67" max="67" width="7.375" style="58" customWidth="1"/>
    <col min="68" max="68" width="10.25390625" style="58" customWidth="1"/>
    <col min="69" max="69" width="10.625" style="58" bestFit="1" customWidth="1"/>
    <col min="70" max="70" width="10.375" style="58" customWidth="1"/>
    <col min="71" max="71" width="12.25390625" style="58" customWidth="1"/>
    <col min="72" max="72" width="9.375" style="58" bestFit="1" customWidth="1"/>
    <col min="73" max="252" width="9.125" style="58" customWidth="1"/>
    <col min="253" max="253" width="27.375" style="58" customWidth="1"/>
    <col min="254" max="254" width="16.875" style="58" customWidth="1"/>
    <col min="255" max="255" width="15.00390625" style="58" customWidth="1"/>
    <col min="256" max="16384" width="11.875" style="58" customWidth="1"/>
  </cols>
  <sheetData>
    <row r="1" spans="1:19" ht="15.75">
      <c r="A1" s="540" t="s">
        <v>107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73" ht="53.25" customHeight="1">
      <c r="A2" s="539" t="s">
        <v>355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224"/>
      <c r="U2" s="224"/>
      <c r="V2" s="224"/>
      <c r="W2" s="225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60"/>
      <c r="BQ2" s="60"/>
      <c r="BR2" s="60"/>
      <c r="BS2" s="60"/>
      <c r="BT2" s="60"/>
      <c r="BU2" s="60"/>
    </row>
    <row r="3" spans="1:73" ht="21.75" customHeight="1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224"/>
      <c r="S3" s="224"/>
      <c r="T3" s="224"/>
      <c r="U3" s="224"/>
      <c r="V3" s="224"/>
      <c r="W3" s="225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60"/>
      <c r="BQ3" s="60"/>
      <c r="BR3" s="60"/>
      <c r="BS3" s="60"/>
      <c r="BT3" s="60"/>
      <c r="BU3" s="60"/>
    </row>
    <row r="4" spans="1:73" ht="18" customHeight="1">
      <c r="A4" s="225"/>
      <c r="B4" s="225"/>
      <c r="C4" s="225"/>
      <c r="D4" s="225"/>
      <c r="E4" s="225"/>
      <c r="F4" s="225"/>
      <c r="G4" s="225"/>
      <c r="H4" s="225"/>
      <c r="I4" s="225"/>
      <c r="J4" s="226" t="s">
        <v>30</v>
      </c>
      <c r="K4" s="225"/>
      <c r="L4" s="224"/>
      <c r="M4" s="224"/>
      <c r="N4" s="224"/>
      <c r="O4" s="224"/>
      <c r="P4" s="224"/>
      <c r="Q4" s="226"/>
      <c r="R4" s="226"/>
      <c r="S4" s="226" t="s">
        <v>30</v>
      </c>
      <c r="T4" s="224"/>
      <c r="U4" s="224"/>
      <c r="V4" s="224"/>
      <c r="W4" s="225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60"/>
      <c r="BQ4" s="60"/>
      <c r="BR4" s="60"/>
      <c r="BS4" s="60"/>
      <c r="BT4" s="60"/>
      <c r="BU4" s="60"/>
    </row>
    <row r="5" spans="1:19" s="39" customFormat="1" ht="14.25" customHeight="1">
      <c r="A5" s="621" t="s">
        <v>223</v>
      </c>
      <c r="B5" s="621" t="s">
        <v>224</v>
      </c>
      <c r="C5" s="621" t="s">
        <v>225</v>
      </c>
      <c r="D5" s="621"/>
      <c r="E5" s="621"/>
      <c r="F5" s="621" t="s">
        <v>226</v>
      </c>
      <c r="G5" s="621" t="s">
        <v>227</v>
      </c>
      <c r="H5" s="621" t="s">
        <v>228</v>
      </c>
      <c r="I5" s="620" t="s">
        <v>229</v>
      </c>
      <c r="J5" s="620" t="s">
        <v>229</v>
      </c>
      <c r="K5" s="623" t="s">
        <v>144</v>
      </c>
      <c r="L5" s="623" t="s">
        <v>174</v>
      </c>
      <c r="M5" s="65"/>
      <c r="N5" s="65"/>
      <c r="O5" s="620" t="s">
        <v>230</v>
      </c>
      <c r="P5" s="620" t="s">
        <v>231</v>
      </c>
      <c r="Q5" s="620" t="s">
        <v>231</v>
      </c>
      <c r="R5" s="620" t="s">
        <v>317</v>
      </c>
      <c r="S5" s="620" t="s">
        <v>356</v>
      </c>
    </row>
    <row r="6" spans="1:19" s="39" customFormat="1" ht="48.75" customHeight="1">
      <c r="A6" s="621"/>
      <c r="B6" s="621"/>
      <c r="C6" s="214" t="s">
        <v>232</v>
      </c>
      <c r="D6" s="214" t="s">
        <v>233</v>
      </c>
      <c r="E6" s="214" t="s">
        <v>234</v>
      </c>
      <c r="F6" s="621"/>
      <c r="G6" s="621"/>
      <c r="H6" s="621"/>
      <c r="I6" s="620"/>
      <c r="J6" s="620"/>
      <c r="K6" s="623"/>
      <c r="L6" s="623"/>
      <c r="M6" s="65"/>
      <c r="N6" s="65"/>
      <c r="O6" s="620"/>
      <c r="P6" s="620"/>
      <c r="Q6" s="620"/>
      <c r="R6" s="620"/>
      <c r="S6" s="620"/>
    </row>
    <row r="7" spans="1:19" s="39" customFormat="1" ht="24.75" customHeight="1">
      <c r="A7" s="214" t="s">
        <v>15</v>
      </c>
      <c r="B7" s="57">
        <f>B170</f>
        <v>1882</v>
      </c>
      <c r="C7" s="57">
        <f aca="true" t="shared" si="0" ref="C7:P7">C170</f>
        <v>579</v>
      </c>
      <c r="D7" s="57">
        <f t="shared" si="0"/>
        <v>678</v>
      </c>
      <c r="E7" s="57">
        <f t="shared" si="0"/>
        <v>625</v>
      </c>
      <c r="F7" s="56"/>
      <c r="G7" s="56"/>
      <c r="H7" s="56"/>
      <c r="I7" s="56">
        <f t="shared" si="0"/>
        <v>37480.6</v>
      </c>
      <c r="J7" s="56">
        <f t="shared" si="0"/>
        <v>45622515.9376</v>
      </c>
      <c r="K7" s="56">
        <f t="shared" si="0"/>
        <v>42639.5</v>
      </c>
      <c r="L7" s="56">
        <f t="shared" si="0"/>
        <v>5158.899999999999</v>
      </c>
      <c r="M7" s="56">
        <f t="shared" si="0"/>
        <v>41902200</v>
      </c>
      <c r="N7" s="56">
        <f t="shared" si="0"/>
        <v>-41864719.39999999</v>
      </c>
      <c r="O7" s="56">
        <f t="shared" si="0"/>
        <v>37480.6</v>
      </c>
      <c r="P7" s="56">
        <f t="shared" si="0"/>
        <v>37480.6</v>
      </c>
      <c r="Q7" s="56">
        <f>SUM(Q8:Q16)</f>
        <v>37321.200000000004</v>
      </c>
      <c r="R7" s="56">
        <f>SUM(R8:R16)</f>
        <v>37321.200000000004</v>
      </c>
      <c r="S7" s="56">
        <f>SUM(S8:S16)</f>
        <v>37321.200000000004</v>
      </c>
    </row>
    <row r="8" spans="1:19" s="39" customFormat="1" ht="18" customHeight="1">
      <c r="A8" s="218" t="s">
        <v>14</v>
      </c>
      <c r="B8" s="57">
        <f>B171</f>
        <v>1093</v>
      </c>
      <c r="C8" s="57">
        <f aca="true" t="shared" si="1" ref="C8:E9">C171</f>
        <v>390</v>
      </c>
      <c r="D8" s="57">
        <f t="shared" si="1"/>
        <v>537</v>
      </c>
      <c r="E8" s="57">
        <f t="shared" si="1"/>
        <v>166</v>
      </c>
      <c r="F8" s="56"/>
      <c r="G8" s="56"/>
      <c r="H8" s="56"/>
      <c r="I8" s="219" t="e">
        <f>#REF!+#REF!+#REF!+#REF!+#REF!+#REF!+#REF!+#REF!+#REF!+#REF!+#REF!+#REF!+#REF!</f>
        <v>#REF!</v>
      </c>
      <c r="J8" s="219">
        <v>27446313.76</v>
      </c>
      <c r="K8" s="54">
        <v>28490.4</v>
      </c>
      <c r="L8" s="54" t="e">
        <f>K8-I8</f>
        <v>#REF!</v>
      </c>
      <c r="M8" s="54">
        <v>28274500</v>
      </c>
      <c r="N8" s="55" t="e">
        <f>I8-M8</f>
        <v>#REF!</v>
      </c>
      <c r="O8" s="55" t="e">
        <f>I8</f>
        <v>#REF!</v>
      </c>
      <c r="P8" s="55" t="e">
        <f>O8</f>
        <v>#REF!</v>
      </c>
      <c r="Q8" s="56">
        <v>22422.9</v>
      </c>
      <c r="R8" s="56">
        <v>22422.9</v>
      </c>
      <c r="S8" s="56">
        <v>22422.9</v>
      </c>
    </row>
    <row r="9" spans="1:19" s="39" customFormat="1" ht="18" customHeight="1">
      <c r="A9" s="218" t="s">
        <v>113</v>
      </c>
      <c r="B9" s="57">
        <f>B172</f>
        <v>164</v>
      </c>
      <c r="C9" s="57">
        <f t="shared" si="1"/>
        <v>40</v>
      </c>
      <c r="D9" s="57">
        <f t="shared" si="1"/>
        <v>23</v>
      </c>
      <c r="E9" s="57">
        <f t="shared" si="1"/>
        <v>101</v>
      </c>
      <c r="F9" s="56"/>
      <c r="G9" s="56"/>
      <c r="H9" s="56"/>
      <c r="I9" s="219" t="e">
        <f>#REF!+#REF!+#REF!+#REF!+#REF!+#REF!+#REF!+#REF!+#REF!+#REF!+#REF!+#REF!+#REF!</f>
        <v>#REF!</v>
      </c>
      <c r="J9" s="219">
        <v>3687289.86</v>
      </c>
      <c r="K9" s="54">
        <v>2659.5</v>
      </c>
      <c r="L9" s="54" t="e">
        <f aca="true" t="shared" si="2" ref="L9:L16">K9-I9</f>
        <v>#REF!</v>
      </c>
      <c r="M9" s="54">
        <v>2654900</v>
      </c>
      <c r="N9" s="55" t="e">
        <f aca="true" t="shared" si="3" ref="N9:N16">I9-M9</f>
        <v>#REF!</v>
      </c>
      <c r="O9" s="55" t="e">
        <f aca="true" t="shared" si="4" ref="O9:O16">I9</f>
        <v>#REF!</v>
      </c>
      <c r="P9" s="55" t="e">
        <f aca="true" t="shared" si="5" ref="P9:P16">O9</f>
        <v>#REF!</v>
      </c>
      <c r="Q9" s="56">
        <v>3131.6</v>
      </c>
      <c r="R9" s="56">
        <v>3131.6</v>
      </c>
      <c r="S9" s="56">
        <v>3131.6</v>
      </c>
    </row>
    <row r="10" spans="1:19" s="39" customFormat="1" ht="18" customHeight="1">
      <c r="A10" s="218" t="s">
        <v>109</v>
      </c>
      <c r="B10" s="57">
        <f aca="true" t="shared" si="6" ref="B10:E16">B173</f>
        <v>86</v>
      </c>
      <c r="C10" s="57">
        <f t="shared" si="6"/>
        <v>25</v>
      </c>
      <c r="D10" s="57">
        <f t="shared" si="6"/>
        <v>15</v>
      </c>
      <c r="E10" s="57">
        <f t="shared" si="6"/>
        <v>46</v>
      </c>
      <c r="F10" s="56"/>
      <c r="G10" s="56"/>
      <c r="H10" s="56"/>
      <c r="I10" s="219" t="e">
        <f>#REF!+#REF!+#REF!+#REF!+#REF!+#REF!+#REF!+#REF!+#REF!+#REF!+#REF!+#REF!+#REF!</f>
        <v>#REF!</v>
      </c>
      <c r="J10" s="219">
        <v>1880429.82</v>
      </c>
      <c r="K10" s="54">
        <v>1584.3</v>
      </c>
      <c r="L10" s="54" t="e">
        <f t="shared" si="2"/>
        <v>#REF!</v>
      </c>
      <c r="M10" s="54">
        <v>1363600</v>
      </c>
      <c r="N10" s="55" t="e">
        <f t="shared" si="3"/>
        <v>#REF!</v>
      </c>
      <c r="O10" s="55" t="e">
        <f t="shared" si="4"/>
        <v>#REF!</v>
      </c>
      <c r="P10" s="55" t="e">
        <f t="shared" si="5"/>
        <v>#REF!</v>
      </c>
      <c r="Q10" s="56">
        <v>1507.8</v>
      </c>
      <c r="R10" s="56">
        <v>1507.8</v>
      </c>
      <c r="S10" s="56">
        <v>1507.8</v>
      </c>
    </row>
    <row r="11" spans="1:19" s="39" customFormat="1" ht="18" customHeight="1">
      <c r="A11" s="218" t="s">
        <v>116</v>
      </c>
      <c r="B11" s="57">
        <f t="shared" si="6"/>
        <v>34</v>
      </c>
      <c r="C11" s="57">
        <f t="shared" si="6"/>
        <v>6</v>
      </c>
      <c r="D11" s="57">
        <f t="shared" si="6"/>
        <v>4</v>
      </c>
      <c r="E11" s="57">
        <f t="shared" si="6"/>
        <v>24</v>
      </c>
      <c r="F11" s="56"/>
      <c r="G11" s="56"/>
      <c r="H11" s="56"/>
      <c r="I11" s="219" t="e">
        <f>I1+#REF!+#REF!+#REF!+#REF!+#REF!+#REF!+#REF!+#REF!+#REF!+#REF!+#REF!+#REF!</f>
        <v>#REF!</v>
      </c>
      <c r="J11" s="219">
        <v>754559.5176000001</v>
      </c>
      <c r="K11" s="54">
        <v>620.8</v>
      </c>
      <c r="L11" s="54" t="e">
        <f t="shared" si="2"/>
        <v>#REF!</v>
      </c>
      <c r="M11" s="54">
        <v>642200</v>
      </c>
      <c r="N11" s="55" t="e">
        <f t="shared" si="3"/>
        <v>#REF!</v>
      </c>
      <c r="O11" s="55" t="e">
        <f t="shared" si="4"/>
        <v>#REF!</v>
      </c>
      <c r="P11" s="55" t="e">
        <f t="shared" si="5"/>
        <v>#REF!</v>
      </c>
      <c r="Q11" s="56">
        <v>721.7</v>
      </c>
      <c r="R11" s="56">
        <v>721.7</v>
      </c>
      <c r="S11" s="56">
        <v>721.7</v>
      </c>
    </row>
    <row r="12" spans="1:19" s="39" customFormat="1" ht="18" customHeight="1">
      <c r="A12" s="218" t="s">
        <v>112</v>
      </c>
      <c r="B12" s="57">
        <f t="shared" si="6"/>
        <v>69</v>
      </c>
      <c r="C12" s="57">
        <f t="shared" si="6"/>
        <v>22</v>
      </c>
      <c r="D12" s="57">
        <f t="shared" si="6"/>
        <v>19</v>
      </c>
      <c r="E12" s="57">
        <f t="shared" si="6"/>
        <v>28</v>
      </c>
      <c r="F12" s="56"/>
      <c r="G12" s="56"/>
      <c r="H12" s="56"/>
      <c r="I12" s="219" t="e">
        <f>I2+#REF!+#REF!+#REF!+#REF!+#REF!+#REF!+#REF!+#REF!+#REF!+#REF!+#REF!+#REF!</f>
        <v>#REF!</v>
      </c>
      <c r="J12" s="219">
        <v>1459086.2999999998</v>
      </c>
      <c r="K12" s="54">
        <v>1294.2</v>
      </c>
      <c r="L12" s="54" t="e">
        <f t="shared" si="2"/>
        <v>#REF!</v>
      </c>
      <c r="M12" s="54">
        <v>1247300</v>
      </c>
      <c r="N12" s="55" t="e">
        <f t="shared" si="3"/>
        <v>#REF!</v>
      </c>
      <c r="O12" s="55" t="e">
        <f t="shared" si="4"/>
        <v>#REF!</v>
      </c>
      <c r="P12" s="55" t="e">
        <f t="shared" si="5"/>
        <v>#REF!</v>
      </c>
      <c r="Q12" s="56">
        <v>1412</v>
      </c>
      <c r="R12" s="56">
        <v>1412</v>
      </c>
      <c r="S12" s="56">
        <v>1412</v>
      </c>
    </row>
    <row r="13" spans="1:19" s="39" customFormat="1" ht="18" customHeight="1">
      <c r="A13" s="218" t="s">
        <v>117</v>
      </c>
      <c r="B13" s="57">
        <f t="shared" si="6"/>
        <v>110</v>
      </c>
      <c r="C13" s="57">
        <f t="shared" si="6"/>
        <v>19</v>
      </c>
      <c r="D13" s="57">
        <f t="shared" si="6"/>
        <v>23</v>
      </c>
      <c r="E13" s="57">
        <f t="shared" si="6"/>
        <v>68</v>
      </c>
      <c r="F13" s="56"/>
      <c r="G13" s="56"/>
      <c r="H13" s="56"/>
      <c r="I13" s="219" t="e">
        <f>I3+#REF!+#REF!+#REF!+#REF!+#REF!+#REF!+#REF!+#REF!+#REF!+#REF!+#REF!+#REF!</f>
        <v>#REF!</v>
      </c>
      <c r="J13" s="219">
        <v>2518508.0600000005</v>
      </c>
      <c r="K13" s="54">
        <v>1699</v>
      </c>
      <c r="L13" s="54" t="e">
        <f t="shared" si="2"/>
        <v>#REF!</v>
      </c>
      <c r="M13" s="54">
        <v>1728900</v>
      </c>
      <c r="N13" s="55" t="e">
        <f t="shared" si="3"/>
        <v>#REF!</v>
      </c>
      <c r="O13" s="55" t="e">
        <f t="shared" si="4"/>
        <v>#REF!</v>
      </c>
      <c r="P13" s="55" t="e">
        <f t="shared" si="5"/>
        <v>#REF!</v>
      </c>
      <c r="Q13" s="56">
        <v>2086.4</v>
      </c>
      <c r="R13" s="56">
        <v>2086.4</v>
      </c>
      <c r="S13" s="56">
        <v>2086.4</v>
      </c>
    </row>
    <row r="14" spans="1:19" s="39" customFormat="1" ht="18" customHeight="1">
      <c r="A14" s="218" t="s">
        <v>118</v>
      </c>
      <c r="B14" s="57">
        <f t="shared" si="6"/>
        <v>67</v>
      </c>
      <c r="C14" s="57">
        <f t="shared" si="6"/>
        <v>14</v>
      </c>
      <c r="D14" s="57">
        <f t="shared" si="6"/>
        <v>7</v>
      </c>
      <c r="E14" s="57">
        <f t="shared" si="6"/>
        <v>46</v>
      </c>
      <c r="F14" s="56"/>
      <c r="G14" s="56"/>
      <c r="H14" s="56"/>
      <c r="I14" s="219" t="e">
        <f>I4+#REF!+#REF!+#REF!+#REF!+#REF!+#REF!+#REF!+#REF!+#REF!+#REF!+#REF!+#REF!</f>
        <v>#REF!</v>
      </c>
      <c r="J14" s="219">
        <v>1728486.08</v>
      </c>
      <c r="K14" s="54">
        <v>1146.9</v>
      </c>
      <c r="L14" s="54" t="e">
        <f t="shared" si="2"/>
        <v>#REF!</v>
      </c>
      <c r="M14" s="54">
        <v>1145500</v>
      </c>
      <c r="N14" s="55" t="e">
        <f t="shared" si="3"/>
        <v>#REF!</v>
      </c>
      <c r="O14" s="55" t="e">
        <f t="shared" si="4"/>
        <v>#REF!</v>
      </c>
      <c r="P14" s="55" t="e">
        <f t="shared" si="5"/>
        <v>#REF!</v>
      </c>
      <c r="Q14" s="56">
        <v>1216.7</v>
      </c>
      <c r="R14" s="56">
        <v>1216.7</v>
      </c>
      <c r="S14" s="56">
        <v>1216.7</v>
      </c>
    </row>
    <row r="15" spans="1:19" s="39" customFormat="1" ht="18" customHeight="1">
      <c r="A15" s="218" t="s">
        <v>119</v>
      </c>
      <c r="B15" s="57">
        <f t="shared" si="6"/>
        <v>109</v>
      </c>
      <c r="C15" s="57">
        <f t="shared" si="6"/>
        <v>34</v>
      </c>
      <c r="D15" s="57">
        <f t="shared" si="6"/>
        <v>25</v>
      </c>
      <c r="E15" s="57">
        <f t="shared" si="6"/>
        <v>50</v>
      </c>
      <c r="F15" s="56"/>
      <c r="G15" s="56"/>
      <c r="H15" s="56"/>
      <c r="I15" s="219" t="e">
        <f>I5+#REF!+#REF!+#REF!+#REF!+#REF!+#REF!+#REF!+#REF!+#REF!+#REF!+#REF!+#REF!</f>
        <v>#VALUE!</v>
      </c>
      <c r="J15" s="219">
        <v>2609162.3600000003</v>
      </c>
      <c r="K15" s="54">
        <v>2273.1</v>
      </c>
      <c r="L15" s="54" t="e">
        <f t="shared" si="2"/>
        <v>#VALUE!</v>
      </c>
      <c r="M15" s="54">
        <v>2225800</v>
      </c>
      <c r="N15" s="55" t="e">
        <f t="shared" si="3"/>
        <v>#VALUE!</v>
      </c>
      <c r="O15" s="55" t="e">
        <f t="shared" si="4"/>
        <v>#VALUE!</v>
      </c>
      <c r="P15" s="55" t="e">
        <f t="shared" si="5"/>
        <v>#VALUE!</v>
      </c>
      <c r="Q15" s="56">
        <v>1975.8</v>
      </c>
      <c r="R15" s="56">
        <v>1975.8</v>
      </c>
      <c r="S15" s="56">
        <v>1975.8</v>
      </c>
    </row>
    <row r="16" spans="1:19" s="39" customFormat="1" ht="18" customHeight="1">
      <c r="A16" s="218" t="s">
        <v>120</v>
      </c>
      <c r="B16" s="57">
        <f t="shared" si="6"/>
        <v>150</v>
      </c>
      <c r="C16" s="57">
        <f t="shared" si="6"/>
        <v>29</v>
      </c>
      <c r="D16" s="57">
        <f t="shared" si="6"/>
        <v>25</v>
      </c>
      <c r="E16" s="57">
        <f t="shared" si="6"/>
        <v>96</v>
      </c>
      <c r="F16" s="56"/>
      <c r="G16" s="56"/>
      <c r="H16" s="56"/>
      <c r="I16" s="219" t="e">
        <f>I6+#REF!+#REF!+#REF!+#REF!+#REF!+#REF!+#REF!+#REF!+#REF!+#REF!+#REF!+#REF!</f>
        <v>#REF!</v>
      </c>
      <c r="J16" s="219">
        <v>3538680.1799999997</v>
      </c>
      <c r="K16" s="54">
        <v>2871.3</v>
      </c>
      <c r="L16" s="54" t="e">
        <f t="shared" si="2"/>
        <v>#REF!</v>
      </c>
      <c r="M16" s="54">
        <v>2619500</v>
      </c>
      <c r="N16" s="55" t="e">
        <f t="shared" si="3"/>
        <v>#REF!</v>
      </c>
      <c r="O16" s="55" t="e">
        <f t="shared" si="4"/>
        <v>#REF!</v>
      </c>
      <c r="P16" s="55" t="e">
        <f t="shared" si="5"/>
        <v>#REF!</v>
      </c>
      <c r="Q16" s="56">
        <v>2846.3</v>
      </c>
      <c r="R16" s="56">
        <v>2846.3</v>
      </c>
      <c r="S16" s="56">
        <v>2846.3</v>
      </c>
    </row>
    <row r="17" spans="1:19" s="39" customFormat="1" ht="13.5" customHeight="1">
      <c r="A17" s="621" t="s">
        <v>13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</row>
    <row r="18" spans="1:19" s="39" customFormat="1" ht="19.5" customHeight="1">
      <c r="A18" s="214" t="s">
        <v>235</v>
      </c>
      <c r="B18" s="49" t="s">
        <v>236</v>
      </c>
      <c r="C18" s="49"/>
      <c r="D18" s="49"/>
      <c r="E18" s="49"/>
      <c r="F18" s="49" t="s">
        <v>237</v>
      </c>
      <c r="G18" s="49"/>
      <c r="H18" s="49"/>
      <c r="I18" s="220"/>
      <c r="J18" s="220"/>
      <c r="K18" s="65"/>
      <c r="L18" s="65"/>
      <c r="M18" s="65"/>
      <c r="N18" s="65"/>
      <c r="O18" s="65"/>
      <c r="P18" s="65"/>
      <c r="Q18" s="220"/>
      <c r="R18" s="220"/>
      <c r="S18" s="220"/>
    </row>
    <row r="19" spans="1:19" s="39" customFormat="1" ht="19.5" customHeight="1" hidden="1">
      <c r="A19" s="214"/>
      <c r="B19" s="49"/>
      <c r="C19" s="49"/>
      <c r="D19" s="49"/>
      <c r="E19" s="49"/>
      <c r="F19" s="49"/>
      <c r="G19" s="49"/>
      <c r="H19" s="49"/>
      <c r="I19" s="220"/>
      <c r="J19" s="220"/>
      <c r="K19" s="65"/>
      <c r="L19" s="65"/>
      <c r="M19" s="65"/>
      <c r="N19" s="65"/>
      <c r="O19" s="65"/>
      <c r="P19" s="65"/>
      <c r="Q19" s="220"/>
      <c r="R19" s="220"/>
      <c r="S19" s="220"/>
    </row>
    <row r="20" spans="1:19" s="39" customFormat="1" ht="29.25" customHeight="1">
      <c r="A20" s="218" t="s">
        <v>238</v>
      </c>
      <c r="B20" s="57">
        <f>SUM(B21:B29)</f>
        <v>11</v>
      </c>
      <c r="C20" s="57">
        <f>SUM(C21:C29)</f>
        <v>6</v>
      </c>
      <c r="D20" s="57">
        <f>SUM(D21:D29)</f>
        <v>0</v>
      </c>
      <c r="E20" s="57">
        <f>SUM(E21:E29)</f>
        <v>5</v>
      </c>
      <c r="F20" s="216"/>
      <c r="G20" s="216"/>
      <c r="H20" s="216"/>
      <c r="I20" s="221">
        <f>SUM(I21:I29)</f>
        <v>400.9</v>
      </c>
      <c r="J20" s="221">
        <f aca="true" t="shared" si="7" ref="J20:P20">SUM(J21:J29)</f>
        <v>2950951.7800000003</v>
      </c>
      <c r="K20" s="215">
        <f t="shared" si="7"/>
        <v>0</v>
      </c>
      <c r="L20" s="215">
        <f t="shared" si="7"/>
        <v>0</v>
      </c>
      <c r="M20" s="215">
        <f t="shared" si="7"/>
        <v>0</v>
      </c>
      <c r="N20" s="215">
        <f t="shared" si="7"/>
        <v>0</v>
      </c>
      <c r="O20" s="215">
        <f t="shared" si="7"/>
        <v>400.9</v>
      </c>
      <c r="P20" s="215">
        <f t="shared" si="7"/>
        <v>400.9</v>
      </c>
      <c r="Q20" s="219">
        <f>SUM(Q21:Q29)</f>
        <v>400.9</v>
      </c>
      <c r="R20" s="219"/>
      <c r="S20" s="219"/>
    </row>
    <row r="21" spans="1:19" s="39" customFormat="1" ht="15.75" customHeight="1">
      <c r="A21" s="222" t="s">
        <v>14</v>
      </c>
      <c r="B21" s="57">
        <v>4</v>
      </c>
      <c r="C21" s="57">
        <v>1</v>
      </c>
      <c r="D21" s="57">
        <v>0</v>
      </c>
      <c r="E21" s="57">
        <v>3</v>
      </c>
      <c r="F21" s="216">
        <v>35000</v>
      </c>
      <c r="G21" s="216"/>
      <c r="H21" s="216"/>
      <c r="I21" s="221">
        <f>ROUND(F21*B21/1000,1)</f>
        <v>140</v>
      </c>
      <c r="J21" s="221">
        <v>1751500</v>
      </c>
      <c r="K21" s="65"/>
      <c r="L21" s="65"/>
      <c r="M21" s="65"/>
      <c r="N21" s="65"/>
      <c r="O21" s="47">
        <f>I21</f>
        <v>140</v>
      </c>
      <c r="P21" s="47">
        <f>O21</f>
        <v>140</v>
      </c>
      <c r="Q21" s="219">
        <v>140</v>
      </c>
      <c r="R21" s="219"/>
      <c r="S21" s="219"/>
    </row>
    <row r="22" spans="1:19" s="39" customFormat="1" ht="15.75" customHeight="1">
      <c r="A22" s="222" t="s">
        <v>113</v>
      </c>
      <c r="B22" s="57">
        <v>1</v>
      </c>
      <c r="C22" s="57">
        <v>1</v>
      </c>
      <c r="D22" s="57">
        <v>0</v>
      </c>
      <c r="E22" s="57">
        <v>0</v>
      </c>
      <c r="F22" s="216">
        <v>38500</v>
      </c>
      <c r="G22" s="216"/>
      <c r="H22" s="216"/>
      <c r="I22" s="221">
        <f aca="true" t="shared" si="8" ref="I22:I29">ROUND(F22*B22/1000,1)</f>
        <v>38.5</v>
      </c>
      <c r="J22" s="221">
        <v>97949.28</v>
      </c>
      <c r="K22" s="65"/>
      <c r="L22" s="65"/>
      <c r="M22" s="65"/>
      <c r="N22" s="65"/>
      <c r="O22" s="47">
        <f aca="true" t="shared" si="9" ref="O22:O29">I22</f>
        <v>38.5</v>
      </c>
      <c r="P22" s="47">
        <f aca="true" t="shared" si="10" ref="P22:P29">O22</f>
        <v>38.5</v>
      </c>
      <c r="Q22" s="219">
        <v>38.5</v>
      </c>
      <c r="R22" s="219"/>
      <c r="S22" s="219"/>
    </row>
    <row r="23" spans="1:19" s="39" customFormat="1" ht="15.75" customHeight="1">
      <c r="A23" s="222" t="s">
        <v>109</v>
      </c>
      <c r="B23" s="57">
        <v>1</v>
      </c>
      <c r="C23" s="57">
        <v>1</v>
      </c>
      <c r="D23" s="57">
        <v>0</v>
      </c>
      <c r="E23" s="57">
        <v>0</v>
      </c>
      <c r="F23" s="216">
        <v>41700</v>
      </c>
      <c r="G23" s="216"/>
      <c r="H23" s="216"/>
      <c r="I23" s="221">
        <f t="shared" si="8"/>
        <v>41.7</v>
      </c>
      <c r="J23" s="221">
        <v>255000</v>
      </c>
      <c r="K23" s="65"/>
      <c r="L23" s="65"/>
      <c r="M23" s="65"/>
      <c r="N23" s="65"/>
      <c r="O23" s="47">
        <f t="shared" si="9"/>
        <v>41.7</v>
      </c>
      <c r="P23" s="47">
        <f t="shared" si="10"/>
        <v>41.7</v>
      </c>
      <c r="Q23" s="219">
        <v>41.7</v>
      </c>
      <c r="R23" s="219"/>
      <c r="S23" s="219"/>
    </row>
    <row r="24" spans="1:19" s="39" customFormat="1" ht="15.75" customHeight="1">
      <c r="A24" s="222" t="s">
        <v>116</v>
      </c>
      <c r="B24" s="57">
        <v>0</v>
      </c>
      <c r="C24" s="57">
        <v>0</v>
      </c>
      <c r="D24" s="57">
        <v>0</v>
      </c>
      <c r="E24" s="57">
        <v>0</v>
      </c>
      <c r="F24" s="216">
        <v>46700</v>
      </c>
      <c r="G24" s="216"/>
      <c r="H24" s="216"/>
      <c r="I24" s="221">
        <f t="shared" si="8"/>
        <v>0</v>
      </c>
      <c r="J24" s="221">
        <v>0</v>
      </c>
      <c r="K24" s="65"/>
      <c r="L24" s="65"/>
      <c r="M24" s="65"/>
      <c r="N24" s="65"/>
      <c r="O24" s="47">
        <f t="shared" si="9"/>
        <v>0</v>
      </c>
      <c r="P24" s="47">
        <f t="shared" si="10"/>
        <v>0</v>
      </c>
      <c r="Q24" s="219">
        <v>0</v>
      </c>
      <c r="R24" s="219"/>
      <c r="S24" s="219"/>
    </row>
    <row r="25" spans="1:19" s="39" customFormat="1" ht="15.75" customHeight="1">
      <c r="A25" s="222" t="s">
        <v>112</v>
      </c>
      <c r="B25" s="57">
        <v>0</v>
      </c>
      <c r="C25" s="57">
        <v>0</v>
      </c>
      <c r="D25" s="57">
        <v>0</v>
      </c>
      <c r="E25" s="57">
        <v>0</v>
      </c>
      <c r="F25" s="216">
        <v>35500</v>
      </c>
      <c r="G25" s="216"/>
      <c r="H25" s="216"/>
      <c r="I25" s="221">
        <f t="shared" si="8"/>
        <v>0</v>
      </c>
      <c r="J25" s="221">
        <v>0</v>
      </c>
      <c r="K25" s="65"/>
      <c r="L25" s="65"/>
      <c r="M25" s="65"/>
      <c r="N25" s="65"/>
      <c r="O25" s="47">
        <f t="shared" si="9"/>
        <v>0</v>
      </c>
      <c r="P25" s="47">
        <f t="shared" si="10"/>
        <v>0</v>
      </c>
      <c r="Q25" s="219">
        <v>0</v>
      </c>
      <c r="R25" s="219"/>
      <c r="S25" s="219"/>
    </row>
    <row r="26" spans="1:19" s="39" customFormat="1" ht="15.75" customHeight="1">
      <c r="A26" s="222" t="s">
        <v>117</v>
      </c>
      <c r="B26" s="57">
        <v>2</v>
      </c>
      <c r="C26" s="57">
        <v>1</v>
      </c>
      <c r="D26" s="57">
        <v>0</v>
      </c>
      <c r="E26" s="57">
        <v>1</v>
      </c>
      <c r="F26" s="216">
        <v>36900</v>
      </c>
      <c r="G26" s="216"/>
      <c r="H26" s="216"/>
      <c r="I26" s="221">
        <f t="shared" si="8"/>
        <v>73.8</v>
      </c>
      <c r="J26" s="221">
        <v>227600</v>
      </c>
      <c r="K26" s="65"/>
      <c r="L26" s="65"/>
      <c r="M26" s="65"/>
      <c r="N26" s="65"/>
      <c r="O26" s="47">
        <f t="shared" si="9"/>
        <v>73.8</v>
      </c>
      <c r="P26" s="47">
        <f t="shared" si="10"/>
        <v>73.8</v>
      </c>
      <c r="Q26" s="219">
        <v>73.8</v>
      </c>
      <c r="R26" s="219"/>
      <c r="S26" s="219"/>
    </row>
    <row r="27" spans="1:19" s="39" customFormat="1" ht="15.75" customHeight="1">
      <c r="A27" s="222" t="s">
        <v>118</v>
      </c>
      <c r="B27" s="57">
        <v>1</v>
      </c>
      <c r="C27" s="57">
        <v>1</v>
      </c>
      <c r="D27" s="57">
        <v>0</v>
      </c>
      <c r="E27" s="57">
        <v>0</v>
      </c>
      <c r="F27" s="216">
        <v>35700</v>
      </c>
      <c r="G27" s="216"/>
      <c r="H27" s="216"/>
      <c r="I27" s="221">
        <f t="shared" si="8"/>
        <v>35.7</v>
      </c>
      <c r="J27" s="221">
        <v>202490</v>
      </c>
      <c r="K27" s="65"/>
      <c r="L27" s="65"/>
      <c r="M27" s="65"/>
      <c r="N27" s="65"/>
      <c r="O27" s="47">
        <f t="shared" si="9"/>
        <v>35.7</v>
      </c>
      <c r="P27" s="47">
        <f t="shared" si="10"/>
        <v>35.7</v>
      </c>
      <c r="Q27" s="219">
        <v>35.7</v>
      </c>
      <c r="R27" s="219"/>
      <c r="S27" s="219"/>
    </row>
    <row r="28" spans="1:19" s="39" customFormat="1" ht="15.75" customHeight="1">
      <c r="A28" s="222" t="s">
        <v>119</v>
      </c>
      <c r="B28" s="57">
        <v>1</v>
      </c>
      <c r="C28" s="57">
        <v>1</v>
      </c>
      <c r="D28" s="57">
        <v>0</v>
      </c>
      <c r="E28" s="57">
        <v>0</v>
      </c>
      <c r="F28" s="216">
        <v>34700</v>
      </c>
      <c r="G28" s="216"/>
      <c r="H28" s="216"/>
      <c r="I28" s="221">
        <f t="shared" si="8"/>
        <v>34.7</v>
      </c>
      <c r="J28" s="221">
        <v>206412.5</v>
      </c>
      <c r="K28" s="65"/>
      <c r="L28" s="65"/>
      <c r="M28" s="65"/>
      <c r="N28" s="65"/>
      <c r="O28" s="47">
        <f t="shared" si="9"/>
        <v>34.7</v>
      </c>
      <c r="P28" s="47">
        <f t="shared" si="10"/>
        <v>34.7</v>
      </c>
      <c r="Q28" s="219">
        <v>34.7</v>
      </c>
      <c r="R28" s="219"/>
      <c r="S28" s="219"/>
    </row>
    <row r="29" spans="1:19" s="39" customFormat="1" ht="15.75" customHeight="1">
      <c r="A29" s="222" t="s">
        <v>120</v>
      </c>
      <c r="B29" s="57">
        <v>1</v>
      </c>
      <c r="C29" s="57">
        <v>0</v>
      </c>
      <c r="D29" s="57">
        <v>0</v>
      </c>
      <c r="E29" s="57">
        <v>1</v>
      </c>
      <c r="F29" s="216">
        <v>36500</v>
      </c>
      <c r="G29" s="216"/>
      <c r="H29" s="216"/>
      <c r="I29" s="221">
        <f t="shared" si="8"/>
        <v>36.5</v>
      </c>
      <c r="J29" s="221">
        <v>210000</v>
      </c>
      <c r="K29" s="65"/>
      <c r="L29" s="65"/>
      <c r="M29" s="65"/>
      <c r="N29" s="65"/>
      <c r="O29" s="47">
        <f t="shared" si="9"/>
        <v>36.5</v>
      </c>
      <c r="P29" s="47">
        <f t="shared" si="10"/>
        <v>36.5</v>
      </c>
      <c r="Q29" s="219">
        <v>36.5</v>
      </c>
      <c r="R29" s="219"/>
      <c r="S29" s="219"/>
    </row>
    <row r="30" spans="1:19" s="39" customFormat="1" ht="15.75" customHeight="1">
      <c r="A30" s="214" t="s">
        <v>239</v>
      </c>
      <c r="B30" s="49" t="s">
        <v>236</v>
      </c>
      <c r="C30" s="49"/>
      <c r="D30" s="49"/>
      <c r="E30" s="49"/>
      <c r="F30" s="49" t="s">
        <v>240</v>
      </c>
      <c r="G30" s="49"/>
      <c r="H30" s="49" t="s">
        <v>241</v>
      </c>
      <c r="I30" s="220"/>
      <c r="J30" s="220"/>
      <c r="K30" s="65"/>
      <c r="L30" s="65"/>
      <c r="M30" s="65"/>
      <c r="N30" s="65"/>
      <c r="O30" s="65"/>
      <c r="P30" s="65"/>
      <c r="Q30" s="220"/>
      <c r="R30" s="220"/>
      <c r="S30" s="220"/>
    </row>
    <row r="31" spans="1:19" s="39" customFormat="1" ht="65.25" customHeight="1">
      <c r="A31" s="218" t="s">
        <v>242</v>
      </c>
      <c r="B31" s="49">
        <f>SUM(B32:B40)</f>
        <v>6</v>
      </c>
      <c r="C31" s="49">
        <f>SUM(C32:C40)</f>
        <v>1</v>
      </c>
      <c r="D31" s="49">
        <f>SUM(D32:D40)</f>
        <v>0</v>
      </c>
      <c r="E31" s="49">
        <f>SUM(E32:E40)</f>
        <v>5</v>
      </c>
      <c r="F31" s="49"/>
      <c r="G31" s="49"/>
      <c r="H31" s="49"/>
      <c r="I31" s="220">
        <f aca="true" t="shared" si="11" ref="I31:P31">SUM(I32:I40)</f>
        <v>225.7</v>
      </c>
      <c r="J31" s="220">
        <f t="shared" si="11"/>
        <v>1788375.12</v>
      </c>
      <c r="K31" s="215">
        <f t="shared" si="11"/>
        <v>0</v>
      </c>
      <c r="L31" s="215">
        <f t="shared" si="11"/>
        <v>0</v>
      </c>
      <c r="M31" s="215">
        <f t="shared" si="11"/>
        <v>0</v>
      </c>
      <c r="N31" s="215">
        <f t="shared" si="11"/>
        <v>0</v>
      </c>
      <c r="O31" s="215">
        <f t="shared" si="11"/>
        <v>225.7</v>
      </c>
      <c r="P31" s="215">
        <f t="shared" si="11"/>
        <v>225.7</v>
      </c>
      <c r="Q31" s="219">
        <f>J31/1000</f>
        <v>1788.3751200000002</v>
      </c>
      <c r="R31" s="219"/>
      <c r="S31" s="219"/>
    </row>
    <row r="32" spans="1:19" s="39" customFormat="1" ht="15.75" customHeight="1">
      <c r="A32" s="222" t="s">
        <v>14</v>
      </c>
      <c r="B32" s="49">
        <v>6</v>
      </c>
      <c r="C32" s="49">
        <v>1</v>
      </c>
      <c r="D32" s="49"/>
      <c r="E32" s="49">
        <v>5</v>
      </c>
      <c r="F32" s="216">
        <v>29860</v>
      </c>
      <c r="G32" s="49"/>
      <c r="H32" s="49">
        <v>1.26</v>
      </c>
      <c r="I32" s="220">
        <f>ROUND(H32*F32*B32/1000,1)</f>
        <v>225.7</v>
      </c>
      <c r="J32" s="220">
        <v>1788375.12</v>
      </c>
      <c r="K32" s="65"/>
      <c r="L32" s="65"/>
      <c r="M32" s="65"/>
      <c r="N32" s="65"/>
      <c r="O32" s="47">
        <f>I32</f>
        <v>225.7</v>
      </c>
      <c r="P32" s="47">
        <f>O32</f>
        <v>225.7</v>
      </c>
      <c r="Q32" s="219">
        <v>225.7</v>
      </c>
      <c r="R32" s="219"/>
      <c r="S32" s="219"/>
    </row>
    <row r="33" spans="1:19" s="39" customFormat="1" ht="15.75" customHeight="1">
      <c r="A33" s="222" t="s">
        <v>113</v>
      </c>
      <c r="B33" s="49"/>
      <c r="C33" s="49"/>
      <c r="D33" s="49"/>
      <c r="E33" s="49"/>
      <c r="F33" s="216"/>
      <c r="G33" s="49"/>
      <c r="H33" s="49"/>
      <c r="I33" s="220"/>
      <c r="J33" s="220"/>
      <c r="K33" s="65"/>
      <c r="L33" s="65"/>
      <c r="M33" s="65"/>
      <c r="N33" s="65"/>
      <c r="O33" s="47"/>
      <c r="P33" s="47"/>
      <c r="Q33" s="219"/>
      <c r="R33" s="219"/>
      <c r="S33" s="219"/>
    </row>
    <row r="34" spans="1:19" s="39" customFormat="1" ht="15.75" customHeight="1">
      <c r="A34" s="222" t="s">
        <v>109</v>
      </c>
      <c r="B34" s="49"/>
      <c r="C34" s="49"/>
      <c r="D34" s="49"/>
      <c r="E34" s="49"/>
      <c r="F34" s="216"/>
      <c r="G34" s="49"/>
      <c r="H34" s="49"/>
      <c r="I34" s="220"/>
      <c r="J34" s="220"/>
      <c r="K34" s="65"/>
      <c r="L34" s="65"/>
      <c r="M34" s="65"/>
      <c r="N34" s="65"/>
      <c r="O34" s="47"/>
      <c r="P34" s="47"/>
      <c r="Q34" s="219"/>
      <c r="R34" s="219"/>
      <c r="S34" s="219"/>
    </row>
    <row r="35" spans="1:19" s="39" customFormat="1" ht="15.75" customHeight="1">
      <c r="A35" s="222" t="s">
        <v>116</v>
      </c>
      <c r="B35" s="49"/>
      <c r="C35" s="49"/>
      <c r="D35" s="49"/>
      <c r="E35" s="49"/>
      <c r="F35" s="216"/>
      <c r="G35" s="49"/>
      <c r="H35" s="49"/>
      <c r="I35" s="220"/>
      <c r="J35" s="220"/>
      <c r="K35" s="65"/>
      <c r="L35" s="65"/>
      <c r="M35" s="65"/>
      <c r="N35" s="65"/>
      <c r="O35" s="47"/>
      <c r="P35" s="47"/>
      <c r="Q35" s="219"/>
      <c r="R35" s="219"/>
      <c r="S35" s="219"/>
    </row>
    <row r="36" spans="1:19" s="39" customFormat="1" ht="15.75" customHeight="1">
      <c r="A36" s="222" t="s">
        <v>112</v>
      </c>
      <c r="B36" s="49"/>
      <c r="C36" s="49"/>
      <c r="D36" s="49"/>
      <c r="E36" s="49"/>
      <c r="F36" s="216"/>
      <c r="G36" s="49"/>
      <c r="H36" s="49"/>
      <c r="I36" s="220"/>
      <c r="J36" s="220"/>
      <c r="K36" s="65"/>
      <c r="L36" s="65"/>
      <c r="M36" s="65"/>
      <c r="N36" s="65"/>
      <c r="O36" s="47"/>
      <c r="P36" s="47"/>
      <c r="Q36" s="219"/>
      <c r="R36" s="219"/>
      <c r="S36" s="219"/>
    </row>
    <row r="37" spans="1:19" s="39" customFormat="1" ht="15.75" customHeight="1">
      <c r="A37" s="222" t="s">
        <v>117</v>
      </c>
      <c r="B37" s="49"/>
      <c r="C37" s="49"/>
      <c r="D37" s="49"/>
      <c r="E37" s="49"/>
      <c r="F37" s="216"/>
      <c r="G37" s="49"/>
      <c r="H37" s="49"/>
      <c r="I37" s="220"/>
      <c r="J37" s="220"/>
      <c r="K37" s="65"/>
      <c r="L37" s="65"/>
      <c r="M37" s="65"/>
      <c r="N37" s="65"/>
      <c r="O37" s="47"/>
      <c r="P37" s="47"/>
      <c r="Q37" s="219"/>
      <c r="R37" s="219"/>
      <c r="S37" s="219"/>
    </row>
    <row r="38" spans="1:19" s="39" customFormat="1" ht="15.75" customHeight="1">
      <c r="A38" s="222" t="s">
        <v>118</v>
      </c>
      <c r="B38" s="49"/>
      <c r="C38" s="49"/>
      <c r="D38" s="49"/>
      <c r="E38" s="49"/>
      <c r="F38" s="216"/>
      <c r="G38" s="49"/>
      <c r="H38" s="49"/>
      <c r="I38" s="220"/>
      <c r="J38" s="220"/>
      <c r="K38" s="65"/>
      <c r="L38" s="65"/>
      <c r="M38" s="65"/>
      <c r="N38" s="65"/>
      <c r="O38" s="47"/>
      <c r="P38" s="47"/>
      <c r="Q38" s="219"/>
      <c r="R38" s="219"/>
      <c r="S38" s="219"/>
    </row>
    <row r="39" spans="1:19" s="39" customFormat="1" ht="15.75" customHeight="1">
      <c r="A39" s="222" t="s">
        <v>119</v>
      </c>
      <c r="B39" s="49"/>
      <c r="C39" s="49"/>
      <c r="D39" s="49"/>
      <c r="E39" s="49"/>
      <c r="F39" s="216"/>
      <c r="G39" s="49"/>
      <c r="H39" s="49"/>
      <c r="I39" s="220"/>
      <c r="J39" s="220"/>
      <c r="K39" s="65"/>
      <c r="L39" s="65"/>
      <c r="M39" s="65"/>
      <c r="N39" s="65"/>
      <c r="O39" s="47"/>
      <c r="P39" s="47"/>
      <c r="Q39" s="219"/>
      <c r="R39" s="219"/>
      <c r="S39" s="219"/>
    </row>
    <row r="40" spans="1:19" s="39" customFormat="1" ht="15.75" customHeight="1">
      <c r="A40" s="222" t="s">
        <v>120</v>
      </c>
      <c r="B40" s="49"/>
      <c r="C40" s="49"/>
      <c r="D40" s="49"/>
      <c r="E40" s="49"/>
      <c r="F40" s="216"/>
      <c r="G40" s="49"/>
      <c r="H40" s="49"/>
      <c r="I40" s="220"/>
      <c r="J40" s="220"/>
      <c r="K40" s="65"/>
      <c r="L40" s="65"/>
      <c r="M40" s="65"/>
      <c r="N40" s="65"/>
      <c r="O40" s="47"/>
      <c r="P40" s="47"/>
      <c r="Q40" s="219"/>
      <c r="R40" s="219"/>
      <c r="S40" s="219"/>
    </row>
    <row r="41" spans="1:19" s="39" customFormat="1" ht="27.75" customHeight="1">
      <c r="A41" s="214" t="s">
        <v>243</v>
      </c>
      <c r="B41" s="49" t="s">
        <v>244</v>
      </c>
      <c r="C41" s="49"/>
      <c r="D41" s="49"/>
      <c r="E41" s="49"/>
      <c r="F41" s="49" t="s">
        <v>245</v>
      </c>
      <c r="G41" s="49" t="s">
        <v>246</v>
      </c>
      <c r="H41" s="49" t="s">
        <v>241</v>
      </c>
      <c r="I41" s="220"/>
      <c r="J41" s="220"/>
      <c r="K41" s="65"/>
      <c r="L41" s="65"/>
      <c r="M41" s="65"/>
      <c r="N41" s="65"/>
      <c r="O41" s="65"/>
      <c r="P41" s="65"/>
      <c r="Q41" s="220"/>
      <c r="R41" s="220"/>
      <c r="S41" s="220"/>
    </row>
    <row r="42" spans="1:19" s="39" customFormat="1" ht="42.75" customHeight="1">
      <c r="A42" s="218" t="s">
        <v>247</v>
      </c>
      <c r="B42" s="49">
        <f>B53+B63+B73</f>
        <v>1653</v>
      </c>
      <c r="C42" s="49">
        <f>C53+C63+C73</f>
        <v>525</v>
      </c>
      <c r="D42" s="49">
        <f>D53+D63+D73</f>
        <v>649</v>
      </c>
      <c r="E42" s="49">
        <f>E53+E63+E73</f>
        <v>479</v>
      </c>
      <c r="F42" s="49"/>
      <c r="G42" s="49"/>
      <c r="H42" s="49"/>
      <c r="I42" s="220">
        <f aca="true" t="shared" si="12" ref="I42:P42">I53+I63+I73</f>
        <v>32254.100000000002</v>
      </c>
      <c r="J42" s="220">
        <f t="shared" si="12"/>
        <v>34285383.720000006</v>
      </c>
      <c r="K42" s="217">
        <f t="shared" si="12"/>
        <v>0</v>
      </c>
      <c r="L42" s="217">
        <f t="shared" si="12"/>
        <v>0</v>
      </c>
      <c r="M42" s="217">
        <f t="shared" si="12"/>
        <v>0</v>
      </c>
      <c r="N42" s="217">
        <f t="shared" si="12"/>
        <v>0</v>
      </c>
      <c r="O42" s="217">
        <f t="shared" si="12"/>
        <v>32254.100000000002</v>
      </c>
      <c r="P42" s="217">
        <f t="shared" si="12"/>
        <v>32254.100000000002</v>
      </c>
      <c r="Q42" s="219">
        <f>J42/1000</f>
        <v>34285.383720000005</v>
      </c>
      <c r="R42" s="219"/>
      <c r="S42" s="219"/>
    </row>
    <row r="43" spans="1:19" s="39" customFormat="1" ht="18.75" customHeight="1">
      <c r="A43" s="218" t="s">
        <v>106</v>
      </c>
      <c r="B43" s="49">
        <f>SUM(B44:B52)</f>
        <v>1653</v>
      </c>
      <c r="C43" s="49">
        <f>SUM(C44:C52)</f>
        <v>525</v>
      </c>
      <c r="D43" s="49">
        <f>SUM(D44:D52)</f>
        <v>649</v>
      </c>
      <c r="E43" s="49">
        <f>SUM(E44:E52)</f>
        <v>479</v>
      </c>
      <c r="F43" s="49"/>
      <c r="G43" s="49"/>
      <c r="H43" s="49"/>
      <c r="I43" s="220">
        <f>SUM(I44:I52)</f>
        <v>32254.1</v>
      </c>
      <c r="J43" s="220">
        <f aca="true" t="shared" si="13" ref="J43:P43">SUM(J44:J52)</f>
        <v>0</v>
      </c>
      <c r="K43" s="217">
        <f t="shared" si="13"/>
        <v>0</v>
      </c>
      <c r="L43" s="217">
        <f t="shared" si="13"/>
        <v>0</v>
      </c>
      <c r="M43" s="217">
        <f t="shared" si="13"/>
        <v>0</v>
      </c>
      <c r="N43" s="217">
        <f t="shared" si="13"/>
        <v>0</v>
      </c>
      <c r="O43" s="217">
        <f>SUM(O44:O52)</f>
        <v>32254.1</v>
      </c>
      <c r="P43" s="217">
        <f t="shared" si="13"/>
        <v>32254.1</v>
      </c>
      <c r="Q43" s="219"/>
      <c r="R43" s="219"/>
      <c r="S43" s="219"/>
    </row>
    <row r="44" spans="1:19" s="39" customFormat="1" ht="17.25" customHeight="1">
      <c r="A44" s="222" t="s">
        <v>14</v>
      </c>
      <c r="B44" s="49">
        <f>C44+D44+E44</f>
        <v>976</v>
      </c>
      <c r="C44" s="49">
        <f aca="true" t="shared" si="14" ref="C44:E47">C54+C64+C74</f>
        <v>369</v>
      </c>
      <c r="D44" s="49">
        <f t="shared" si="14"/>
        <v>524</v>
      </c>
      <c r="E44" s="49">
        <f t="shared" si="14"/>
        <v>83</v>
      </c>
      <c r="F44" s="49"/>
      <c r="G44" s="49"/>
      <c r="H44" s="49"/>
      <c r="I44" s="220">
        <f aca="true" t="shared" si="15" ref="I44:I52">I54+I64+I74</f>
        <v>19873.699999999997</v>
      </c>
      <c r="J44" s="220"/>
      <c r="K44" s="65"/>
      <c r="L44" s="65"/>
      <c r="M44" s="65"/>
      <c r="N44" s="65"/>
      <c r="O44" s="47">
        <f>I44</f>
        <v>19873.699999999997</v>
      </c>
      <c r="P44" s="47">
        <f>O44</f>
        <v>19873.699999999997</v>
      </c>
      <c r="Q44" s="219"/>
      <c r="R44" s="219"/>
      <c r="S44" s="219"/>
    </row>
    <row r="45" spans="1:19" s="39" customFormat="1" ht="17.25" customHeight="1">
      <c r="A45" s="222" t="s">
        <v>113</v>
      </c>
      <c r="B45" s="49">
        <f aca="true" t="shared" si="16" ref="B45:B52">C45+D45+E45</f>
        <v>141</v>
      </c>
      <c r="C45" s="49">
        <f t="shared" si="14"/>
        <v>30</v>
      </c>
      <c r="D45" s="49">
        <f t="shared" si="14"/>
        <v>23</v>
      </c>
      <c r="E45" s="49">
        <f t="shared" si="14"/>
        <v>88</v>
      </c>
      <c r="F45" s="49"/>
      <c r="G45" s="49"/>
      <c r="H45" s="49"/>
      <c r="I45" s="220">
        <f t="shared" si="15"/>
        <v>2642.1000000000004</v>
      </c>
      <c r="J45" s="220"/>
      <c r="K45" s="65"/>
      <c r="L45" s="65"/>
      <c r="M45" s="65"/>
      <c r="N45" s="65"/>
      <c r="O45" s="47">
        <f aca="true" t="shared" si="17" ref="O45:O52">I45</f>
        <v>2642.1000000000004</v>
      </c>
      <c r="P45" s="47">
        <f aca="true" t="shared" si="18" ref="P45:P52">O45</f>
        <v>2642.1000000000004</v>
      </c>
      <c r="Q45" s="219"/>
      <c r="R45" s="219"/>
      <c r="S45" s="219"/>
    </row>
    <row r="46" spans="1:19" s="39" customFormat="1" ht="17.25" customHeight="1">
      <c r="A46" s="222" t="s">
        <v>109</v>
      </c>
      <c r="B46" s="49">
        <f t="shared" si="16"/>
        <v>81</v>
      </c>
      <c r="C46" s="49">
        <f t="shared" si="14"/>
        <v>24</v>
      </c>
      <c r="D46" s="49">
        <f t="shared" si="14"/>
        <v>15</v>
      </c>
      <c r="E46" s="49">
        <f t="shared" si="14"/>
        <v>42</v>
      </c>
      <c r="F46" s="49"/>
      <c r="G46" s="49"/>
      <c r="H46" s="49"/>
      <c r="I46" s="220">
        <f t="shared" si="15"/>
        <v>1330.3</v>
      </c>
      <c r="J46" s="220"/>
      <c r="K46" s="65"/>
      <c r="L46" s="65"/>
      <c r="M46" s="65"/>
      <c r="N46" s="65"/>
      <c r="O46" s="47">
        <f t="shared" si="17"/>
        <v>1330.3</v>
      </c>
      <c r="P46" s="47">
        <f t="shared" si="18"/>
        <v>1330.3</v>
      </c>
      <c r="Q46" s="219"/>
      <c r="R46" s="219"/>
      <c r="S46" s="219"/>
    </row>
    <row r="47" spans="1:19" s="39" customFormat="1" ht="17.25" customHeight="1">
      <c r="A47" s="222" t="s">
        <v>116</v>
      </c>
      <c r="B47" s="49">
        <f t="shared" si="16"/>
        <v>28</v>
      </c>
      <c r="C47" s="49">
        <f t="shared" si="14"/>
        <v>5</v>
      </c>
      <c r="D47" s="49">
        <f t="shared" si="14"/>
        <v>4</v>
      </c>
      <c r="E47" s="49">
        <f t="shared" si="14"/>
        <v>19</v>
      </c>
      <c r="F47" s="49"/>
      <c r="G47" s="49"/>
      <c r="H47" s="49"/>
      <c r="I47" s="220">
        <f t="shared" si="15"/>
        <v>555.9</v>
      </c>
      <c r="J47" s="220"/>
      <c r="K47" s="65"/>
      <c r="L47" s="65"/>
      <c r="M47" s="65"/>
      <c r="N47" s="65"/>
      <c r="O47" s="47">
        <f t="shared" si="17"/>
        <v>555.9</v>
      </c>
      <c r="P47" s="47">
        <f t="shared" si="18"/>
        <v>555.9</v>
      </c>
      <c r="Q47" s="219"/>
      <c r="R47" s="219"/>
      <c r="S47" s="219"/>
    </row>
    <row r="48" spans="1:19" s="39" customFormat="1" ht="17.25" customHeight="1">
      <c r="A48" s="222" t="s">
        <v>112</v>
      </c>
      <c r="B48" s="49">
        <f t="shared" si="16"/>
        <v>58</v>
      </c>
      <c r="C48" s="49">
        <f aca="true" t="shared" si="19" ref="C48:E52">C58+C68+C78</f>
        <v>19</v>
      </c>
      <c r="D48" s="49">
        <f t="shared" si="19"/>
        <v>13</v>
      </c>
      <c r="E48" s="49">
        <f t="shared" si="19"/>
        <v>26</v>
      </c>
      <c r="F48" s="49"/>
      <c r="G48" s="49"/>
      <c r="H48" s="49"/>
      <c r="I48" s="220">
        <f t="shared" si="15"/>
        <v>1100.2000000000003</v>
      </c>
      <c r="J48" s="220"/>
      <c r="K48" s="65"/>
      <c r="L48" s="65"/>
      <c r="M48" s="65"/>
      <c r="N48" s="65"/>
      <c r="O48" s="47">
        <f t="shared" si="17"/>
        <v>1100.2000000000003</v>
      </c>
      <c r="P48" s="47">
        <f t="shared" si="18"/>
        <v>1100.2000000000003</v>
      </c>
      <c r="Q48" s="219"/>
      <c r="R48" s="219"/>
      <c r="S48" s="219"/>
    </row>
    <row r="49" spans="1:19" s="39" customFormat="1" ht="17.25" customHeight="1">
      <c r="A49" s="222" t="s">
        <v>117</v>
      </c>
      <c r="B49" s="49">
        <f t="shared" si="16"/>
        <v>90</v>
      </c>
      <c r="C49" s="49">
        <f t="shared" si="19"/>
        <v>13</v>
      </c>
      <c r="D49" s="49">
        <f t="shared" si="19"/>
        <v>18</v>
      </c>
      <c r="E49" s="49">
        <f t="shared" si="19"/>
        <v>59</v>
      </c>
      <c r="F49" s="49"/>
      <c r="G49" s="49"/>
      <c r="H49" s="49"/>
      <c r="I49" s="220">
        <f t="shared" si="15"/>
        <v>1688.4</v>
      </c>
      <c r="J49" s="220"/>
      <c r="K49" s="65"/>
      <c r="L49" s="65"/>
      <c r="M49" s="65"/>
      <c r="N49" s="65"/>
      <c r="O49" s="47">
        <f t="shared" si="17"/>
        <v>1688.4</v>
      </c>
      <c r="P49" s="47">
        <f t="shared" si="18"/>
        <v>1688.4</v>
      </c>
      <c r="Q49" s="219"/>
      <c r="R49" s="219"/>
      <c r="S49" s="219"/>
    </row>
    <row r="50" spans="1:19" s="39" customFormat="1" ht="17.25" customHeight="1">
      <c r="A50" s="222" t="s">
        <v>118</v>
      </c>
      <c r="B50" s="49">
        <f t="shared" si="16"/>
        <v>55</v>
      </c>
      <c r="C50" s="49">
        <f t="shared" si="19"/>
        <v>8</v>
      </c>
      <c r="D50" s="49">
        <f t="shared" si="19"/>
        <v>7</v>
      </c>
      <c r="E50" s="49">
        <f t="shared" si="19"/>
        <v>40</v>
      </c>
      <c r="F50" s="49"/>
      <c r="G50" s="49"/>
      <c r="H50" s="49"/>
      <c r="I50" s="220">
        <f t="shared" si="15"/>
        <v>984.2</v>
      </c>
      <c r="J50" s="220"/>
      <c r="K50" s="65"/>
      <c r="L50" s="65"/>
      <c r="M50" s="65"/>
      <c r="N50" s="65"/>
      <c r="O50" s="47">
        <f t="shared" si="17"/>
        <v>984.2</v>
      </c>
      <c r="P50" s="47">
        <f t="shared" si="18"/>
        <v>984.2</v>
      </c>
      <c r="Q50" s="219"/>
      <c r="R50" s="219"/>
      <c r="S50" s="219"/>
    </row>
    <row r="51" spans="1:19" s="39" customFormat="1" ht="17.25" customHeight="1">
      <c r="A51" s="222" t="s">
        <v>119</v>
      </c>
      <c r="B51" s="49">
        <f t="shared" si="16"/>
        <v>94</v>
      </c>
      <c r="C51" s="49">
        <f t="shared" si="19"/>
        <v>29</v>
      </c>
      <c r="D51" s="49">
        <f t="shared" si="19"/>
        <v>22</v>
      </c>
      <c r="E51" s="49">
        <f t="shared" si="19"/>
        <v>43</v>
      </c>
      <c r="F51" s="49"/>
      <c r="G51" s="49"/>
      <c r="H51" s="49"/>
      <c r="I51" s="220">
        <f t="shared" si="15"/>
        <v>1704.5</v>
      </c>
      <c r="J51" s="220"/>
      <c r="K51" s="65"/>
      <c r="L51" s="65"/>
      <c r="M51" s="65"/>
      <c r="N51" s="65"/>
      <c r="O51" s="47">
        <f t="shared" si="17"/>
        <v>1704.5</v>
      </c>
      <c r="P51" s="47">
        <f t="shared" si="18"/>
        <v>1704.5</v>
      </c>
      <c r="Q51" s="219"/>
      <c r="R51" s="219"/>
      <c r="S51" s="219"/>
    </row>
    <row r="52" spans="1:19" s="39" customFormat="1" ht="17.25" customHeight="1">
      <c r="A52" s="222" t="s">
        <v>120</v>
      </c>
      <c r="B52" s="49">
        <f t="shared" si="16"/>
        <v>130</v>
      </c>
      <c r="C52" s="49">
        <f t="shared" si="19"/>
        <v>28</v>
      </c>
      <c r="D52" s="49">
        <f t="shared" si="19"/>
        <v>23</v>
      </c>
      <c r="E52" s="49">
        <f t="shared" si="19"/>
        <v>79</v>
      </c>
      <c r="F52" s="49"/>
      <c r="G52" s="49"/>
      <c r="H52" s="49"/>
      <c r="I52" s="220">
        <f t="shared" si="15"/>
        <v>2374.8</v>
      </c>
      <c r="J52" s="220"/>
      <c r="K52" s="65"/>
      <c r="L52" s="65"/>
      <c r="M52" s="65"/>
      <c r="N52" s="65"/>
      <c r="O52" s="47">
        <f t="shared" si="17"/>
        <v>2374.8</v>
      </c>
      <c r="P52" s="47">
        <f t="shared" si="18"/>
        <v>2374.8</v>
      </c>
      <c r="Q52" s="220"/>
      <c r="R52" s="220"/>
      <c r="S52" s="220"/>
    </row>
    <row r="53" spans="1:19" s="39" customFormat="1" ht="17.25" customHeight="1">
      <c r="A53" s="218" t="s">
        <v>248</v>
      </c>
      <c r="B53" s="49">
        <f>SUM(B54:B62)</f>
        <v>653</v>
      </c>
      <c r="C53" s="49">
        <f>SUM(C54:C62)</f>
        <v>181</v>
      </c>
      <c r="D53" s="49">
        <f>SUM(D54:D62)</f>
        <v>307</v>
      </c>
      <c r="E53" s="49">
        <f>SUM(E54:E62)</f>
        <v>165</v>
      </c>
      <c r="F53" s="49"/>
      <c r="G53" s="49"/>
      <c r="H53" s="49"/>
      <c r="I53" s="220">
        <f aca="true" t="shared" si="20" ref="I53:P53">SUM(I54:I62)</f>
        <v>16774</v>
      </c>
      <c r="J53" s="220">
        <f t="shared" si="20"/>
        <v>17235654.66</v>
      </c>
      <c r="K53" s="215">
        <f t="shared" si="20"/>
        <v>0</v>
      </c>
      <c r="L53" s="215">
        <f t="shared" si="20"/>
        <v>0</v>
      </c>
      <c r="M53" s="215">
        <f t="shared" si="20"/>
        <v>0</v>
      </c>
      <c r="N53" s="215">
        <f t="shared" si="20"/>
        <v>0</v>
      </c>
      <c r="O53" s="215">
        <f t="shared" si="20"/>
        <v>16774</v>
      </c>
      <c r="P53" s="215">
        <f t="shared" si="20"/>
        <v>16774</v>
      </c>
      <c r="Q53" s="219">
        <v>16679.6</v>
      </c>
      <c r="R53" s="219"/>
      <c r="S53" s="219"/>
    </row>
    <row r="54" spans="1:19" s="39" customFormat="1" ht="18" customHeight="1">
      <c r="A54" s="222" t="s">
        <v>14</v>
      </c>
      <c r="B54" s="49">
        <v>476</v>
      </c>
      <c r="C54" s="49">
        <v>151</v>
      </c>
      <c r="D54" s="49">
        <v>273</v>
      </c>
      <c r="E54" s="49">
        <v>52</v>
      </c>
      <c r="F54" s="49">
        <v>675</v>
      </c>
      <c r="G54" s="49">
        <v>2.5</v>
      </c>
      <c r="H54" s="49">
        <v>1.26</v>
      </c>
      <c r="I54" s="220">
        <f>ROUND(B54*F54*G54*H54*12/1000,1)</f>
        <v>12145.1</v>
      </c>
      <c r="J54" s="220">
        <v>12549978</v>
      </c>
      <c r="K54" s="65"/>
      <c r="L54" s="65"/>
      <c r="M54" s="65"/>
      <c r="N54" s="65"/>
      <c r="O54" s="47">
        <f>I54</f>
        <v>12145.1</v>
      </c>
      <c r="P54" s="47">
        <f>O54</f>
        <v>12145.1</v>
      </c>
      <c r="Q54" s="219">
        <v>12145.1</v>
      </c>
      <c r="R54" s="219"/>
      <c r="S54" s="219"/>
    </row>
    <row r="55" spans="1:19" s="39" customFormat="1" ht="18" customHeight="1">
      <c r="A55" s="222" t="s">
        <v>113</v>
      </c>
      <c r="B55" s="49">
        <f aca="true" t="shared" si="21" ref="B55:B62">C55+D55+E55</f>
        <v>48</v>
      </c>
      <c r="C55" s="49">
        <v>9</v>
      </c>
      <c r="D55" s="49">
        <f>2+1+7</f>
        <v>10</v>
      </c>
      <c r="E55" s="49">
        <v>29</v>
      </c>
      <c r="F55" s="49">
        <v>675</v>
      </c>
      <c r="G55" s="49">
        <v>2.5</v>
      </c>
      <c r="H55" s="49">
        <v>1.26</v>
      </c>
      <c r="I55" s="220">
        <f aca="true" t="shared" si="22" ref="I55:I62">ROUND(B55*F55*G55*H55*12/1000,1)</f>
        <v>1224.7</v>
      </c>
      <c r="J55" s="220">
        <v>1265544</v>
      </c>
      <c r="K55" s="65"/>
      <c r="L55" s="65"/>
      <c r="M55" s="65"/>
      <c r="N55" s="65"/>
      <c r="O55" s="47">
        <f aca="true" t="shared" si="23" ref="O55:O62">I55</f>
        <v>1224.7</v>
      </c>
      <c r="P55" s="47">
        <f aca="true" t="shared" si="24" ref="P55:P62">O55</f>
        <v>1224.7</v>
      </c>
      <c r="Q55" s="219">
        <v>1224.7</v>
      </c>
      <c r="R55" s="219"/>
      <c r="S55" s="219"/>
    </row>
    <row r="56" spans="1:19" s="39" customFormat="1" ht="18" customHeight="1">
      <c r="A56" s="222" t="s">
        <v>109</v>
      </c>
      <c r="B56" s="49">
        <f t="shared" si="21"/>
        <v>9</v>
      </c>
      <c r="C56" s="49">
        <v>1</v>
      </c>
      <c r="D56" s="49">
        <v>1</v>
      </c>
      <c r="E56" s="49">
        <v>7</v>
      </c>
      <c r="F56" s="49">
        <v>675</v>
      </c>
      <c r="G56" s="49">
        <v>2.5</v>
      </c>
      <c r="H56" s="49">
        <v>1.26</v>
      </c>
      <c r="I56" s="220">
        <f t="shared" si="22"/>
        <v>229.6</v>
      </c>
      <c r="J56" s="220">
        <v>237289.5</v>
      </c>
      <c r="K56" s="65"/>
      <c r="L56" s="65"/>
      <c r="M56" s="65"/>
      <c r="N56" s="65"/>
      <c r="O56" s="47">
        <f t="shared" si="23"/>
        <v>229.6</v>
      </c>
      <c r="P56" s="47">
        <f t="shared" si="24"/>
        <v>229.6</v>
      </c>
      <c r="Q56" s="219">
        <v>229.6</v>
      </c>
      <c r="R56" s="219"/>
      <c r="S56" s="219"/>
    </row>
    <row r="57" spans="1:19" s="39" customFormat="1" ht="18" customHeight="1">
      <c r="A57" s="222" t="s">
        <v>116</v>
      </c>
      <c r="B57" s="49">
        <f t="shared" si="21"/>
        <v>9</v>
      </c>
      <c r="C57" s="49">
        <v>1</v>
      </c>
      <c r="D57" s="49">
        <v>4</v>
      </c>
      <c r="E57" s="49">
        <v>4</v>
      </c>
      <c r="F57" s="49">
        <v>675</v>
      </c>
      <c r="G57" s="49">
        <v>2.7</v>
      </c>
      <c r="H57" s="49">
        <v>1.26</v>
      </c>
      <c r="I57" s="220">
        <f t="shared" si="22"/>
        <v>248</v>
      </c>
      <c r="J57" s="220">
        <v>256272.66</v>
      </c>
      <c r="K57" s="65"/>
      <c r="L57" s="65"/>
      <c r="M57" s="65"/>
      <c r="N57" s="65"/>
      <c r="O57" s="47">
        <f t="shared" si="23"/>
        <v>248</v>
      </c>
      <c r="P57" s="47">
        <f t="shared" si="24"/>
        <v>248</v>
      </c>
      <c r="Q57" s="219">
        <v>248</v>
      </c>
      <c r="R57" s="219"/>
      <c r="S57" s="219"/>
    </row>
    <row r="58" spans="1:19" s="39" customFormat="1" ht="18" customHeight="1">
      <c r="A58" s="222" t="s">
        <v>112</v>
      </c>
      <c r="B58" s="49">
        <f t="shared" si="21"/>
        <v>18</v>
      </c>
      <c r="C58" s="49">
        <v>4</v>
      </c>
      <c r="D58" s="49">
        <v>5</v>
      </c>
      <c r="E58" s="49">
        <v>9</v>
      </c>
      <c r="F58" s="49">
        <v>675</v>
      </c>
      <c r="G58" s="49">
        <v>2.5</v>
      </c>
      <c r="H58" s="49">
        <v>1.302</v>
      </c>
      <c r="I58" s="220">
        <f t="shared" si="22"/>
        <v>474.6</v>
      </c>
      <c r="J58" s="220">
        <v>474579</v>
      </c>
      <c r="K58" s="65"/>
      <c r="L58" s="65"/>
      <c r="M58" s="65"/>
      <c r="N58" s="65"/>
      <c r="O58" s="47">
        <f t="shared" si="23"/>
        <v>474.6</v>
      </c>
      <c r="P58" s="47">
        <f t="shared" si="24"/>
        <v>474.6</v>
      </c>
      <c r="Q58" s="219">
        <v>459.3</v>
      </c>
      <c r="R58" s="219"/>
      <c r="S58" s="219"/>
    </row>
    <row r="59" spans="1:19" s="39" customFormat="1" ht="18" customHeight="1">
      <c r="A59" s="222" t="s">
        <v>117</v>
      </c>
      <c r="B59" s="49">
        <f t="shared" si="21"/>
        <v>28</v>
      </c>
      <c r="C59" s="49">
        <v>1</v>
      </c>
      <c r="D59" s="49">
        <v>7</v>
      </c>
      <c r="E59" s="49">
        <f>20</f>
        <v>20</v>
      </c>
      <c r="F59" s="49">
        <v>675</v>
      </c>
      <c r="G59" s="49">
        <v>2.5</v>
      </c>
      <c r="H59" s="49">
        <v>1.302</v>
      </c>
      <c r="I59" s="220">
        <f t="shared" si="22"/>
        <v>738.2</v>
      </c>
      <c r="J59" s="220">
        <v>738234</v>
      </c>
      <c r="K59" s="65"/>
      <c r="L59" s="65"/>
      <c r="M59" s="65"/>
      <c r="N59" s="65"/>
      <c r="O59" s="47">
        <f t="shared" si="23"/>
        <v>738.2</v>
      </c>
      <c r="P59" s="47">
        <f t="shared" si="24"/>
        <v>738.2</v>
      </c>
      <c r="Q59" s="219">
        <v>714.4</v>
      </c>
      <c r="R59" s="219"/>
      <c r="S59" s="219"/>
    </row>
    <row r="60" spans="1:19" s="39" customFormat="1" ht="18" customHeight="1">
      <c r="A60" s="222" t="s">
        <v>118</v>
      </c>
      <c r="B60" s="49">
        <f t="shared" si="21"/>
        <v>13</v>
      </c>
      <c r="C60" s="49">
        <v>1</v>
      </c>
      <c r="D60" s="49">
        <v>0</v>
      </c>
      <c r="E60" s="49">
        <v>12</v>
      </c>
      <c r="F60" s="49">
        <v>675</v>
      </c>
      <c r="G60" s="49">
        <v>2.5</v>
      </c>
      <c r="H60" s="49">
        <v>1.302</v>
      </c>
      <c r="I60" s="220">
        <f t="shared" si="22"/>
        <v>342.8</v>
      </c>
      <c r="J60" s="220">
        <v>342751.5</v>
      </c>
      <c r="K60" s="65"/>
      <c r="L60" s="65"/>
      <c r="M60" s="65"/>
      <c r="N60" s="65"/>
      <c r="O60" s="47">
        <f t="shared" si="23"/>
        <v>342.8</v>
      </c>
      <c r="P60" s="47">
        <f t="shared" si="24"/>
        <v>342.8</v>
      </c>
      <c r="Q60" s="219">
        <v>331.7</v>
      </c>
      <c r="R60" s="219"/>
      <c r="S60" s="219"/>
    </row>
    <row r="61" spans="1:19" s="39" customFormat="1" ht="18" customHeight="1">
      <c r="A61" s="222" t="s">
        <v>119</v>
      </c>
      <c r="B61" s="49">
        <f t="shared" si="21"/>
        <v>22</v>
      </c>
      <c r="C61" s="49">
        <v>13</v>
      </c>
      <c r="D61" s="49">
        <v>2</v>
      </c>
      <c r="E61" s="49">
        <v>7</v>
      </c>
      <c r="F61" s="49">
        <v>675</v>
      </c>
      <c r="G61" s="49">
        <v>2.5</v>
      </c>
      <c r="H61" s="49">
        <v>1.302</v>
      </c>
      <c r="I61" s="220">
        <f t="shared" si="22"/>
        <v>580</v>
      </c>
      <c r="J61" s="220">
        <v>580041</v>
      </c>
      <c r="K61" s="65"/>
      <c r="L61" s="65"/>
      <c r="M61" s="65"/>
      <c r="N61" s="65"/>
      <c r="O61" s="47">
        <f t="shared" si="23"/>
        <v>580</v>
      </c>
      <c r="P61" s="47">
        <f t="shared" si="24"/>
        <v>580</v>
      </c>
      <c r="Q61" s="219">
        <v>561.3</v>
      </c>
      <c r="R61" s="219"/>
      <c r="S61" s="219"/>
    </row>
    <row r="62" spans="1:19" s="39" customFormat="1" ht="15.75">
      <c r="A62" s="222" t="s">
        <v>120</v>
      </c>
      <c r="B62" s="49">
        <f t="shared" si="21"/>
        <v>30</v>
      </c>
      <c r="C62" s="49">
        <v>0</v>
      </c>
      <c r="D62" s="49">
        <v>5</v>
      </c>
      <c r="E62" s="49">
        <v>25</v>
      </c>
      <c r="F62" s="49">
        <v>675</v>
      </c>
      <c r="G62" s="49">
        <v>2.5</v>
      </c>
      <c r="H62" s="49">
        <v>1.302</v>
      </c>
      <c r="I62" s="220">
        <f t="shared" si="22"/>
        <v>791</v>
      </c>
      <c r="J62" s="220">
        <v>790965</v>
      </c>
      <c r="K62" s="65"/>
      <c r="L62" s="65"/>
      <c r="M62" s="65"/>
      <c r="N62" s="65"/>
      <c r="O62" s="47">
        <f t="shared" si="23"/>
        <v>791</v>
      </c>
      <c r="P62" s="47">
        <f t="shared" si="24"/>
        <v>791</v>
      </c>
      <c r="Q62" s="219">
        <v>765.5</v>
      </c>
      <c r="R62" s="219"/>
      <c r="S62" s="219"/>
    </row>
    <row r="63" spans="1:19" s="39" customFormat="1" ht="15.75">
      <c r="A63" s="218" t="s">
        <v>249</v>
      </c>
      <c r="B63" s="49">
        <f>SUM(B64:B72)</f>
        <v>952</v>
      </c>
      <c r="C63" s="49">
        <f>SUM(C64:C72)</f>
        <v>330</v>
      </c>
      <c r="D63" s="49">
        <f>SUM(D64:D72)</f>
        <v>327</v>
      </c>
      <c r="E63" s="49">
        <f>SUM(E64:E72)</f>
        <v>295</v>
      </c>
      <c r="F63" s="49"/>
      <c r="G63" s="49"/>
      <c r="H63" s="49"/>
      <c r="I63" s="220">
        <f aca="true" t="shared" si="25" ref="I63:P63">SUM(I64:I72)</f>
        <v>15099.600000000002</v>
      </c>
      <c r="J63" s="220">
        <f t="shared" si="25"/>
        <v>15602823.230400003</v>
      </c>
      <c r="K63" s="215">
        <f t="shared" si="25"/>
        <v>0</v>
      </c>
      <c r="L63" s="215">
        <f t="shared" si="25"/>
        <v>0</v>
      </c>
      <c r="M63" s="215">
        <f t="shared" si="25"/>
        <v>0</v>
      </c>
      <c r="N63" s="215">
        <f t="shared" si="25"/>
        <v>0</v>
      </c>
      <c r="O63" s="215">
        <f t="shared" si="25"/>
        <v>15099.600000000002</v>
      </c>
      <c r="P63" s="215">
        <f t="shared" si="25"/>
        <v>15099.600000000002</v>
      </c>
      <c r="Q63" s="219">
        <v>15099.6</v>
      </c>
      <c r="R63" s="219"/>
      <c r="S63" s="219"/>
    </row>
    <row r="64" spans="1:19" s="39" customFormat="1" ht="15.75">
      <c r="A64" s="222" t="s">
        <v>14</v>
      </c>
      <c r="B64" s="49">
        <f>C64+D64+E64</f>
        <v>476</v>
      </c>
      <c r="C64" s="49">
        <v>210</v>
      </c>
      <c r="D64" s="49">
        <v>244</v>
      </c>
      <c r="E64" s="49">
        <v>22</v>
      </c>
      <c r="F64" s="49">
        <v>419</v>
      </c>
      <c r="G64" s="49">
        <v>2.5</v>
      </c>
      <c r="H64" s="49">
        <v>1.26</v>
      </c>
      <c r="I64" s="220">
        <f>ROUND(B64*F64*G64*H64*12/1000,1)</f>
        <v>7539</v>
      </c>
      <c r="J64" s="220">
        <v>7790282.64</v>
      </c>
      <c r="K64" s="65"/>
      <c r="L64" s="65"/>
      <c r="M64" s="65"/>
      <c r="N64" s="65"/>
      <c r="O64" s="47">
        <f>I64</f>
        <v>7539</v>
      </c>
      <c r="P64" s="47">
        <f>O64</f>
        <v>7539</v>
      </c>
      <c r="Q64" s="219">
        <v>7539</v>
      </c>
      <c r="R64" s="219"/>
      <c r="S64" s="219"/>
    </row>
    <row r="65" spans="1:19" s="39" customFormat="1" ht="15.75">
      <c r="A65" s="222" t="s">
        <v>113</v>
      </c>
      <c r="B65" s="49">
        <f aca="true" t="shared" si="26" ref="B65:B72">C65+D65+E65</f>
        <v>86</v>
      </c>
      <c r="C65" s="49">
        <v>19</v>
      </c>
      <c r="D65" s="49">
        <f>2+5+2+1</f>
        <v>10</v>
      </c>
      <c r="E65" s="49">
        <v>57</v>
      </c>
      <c r="F65" s="49">
        <v>419</v>
      </c>
      <c r="G65" s="49">
        <v>2.5</v>
      </c>
      <c r="H65" s="49">
        <v>1.26</v>
      </c>
      <c r="I65" s="220">
        <f aca="true" t="shared" si="27" ref="I65:I72">ROUND(B65*F65*G65*H65*12/1000,1)</f>
        <v>1362.1</v>
      </c>
      <c r="J65" s="220">
        <v>1407488.04</v>
      </c>
      <c r="K65" s="65"/>
      <c r="L65" s="65"/>
      <c r="M65" s="65"/>
      <c r="N65" s="65"/>
      <c r="O65" s="47">
        <f aca="true" t="shared" si="28" ref="O65:O72">I65</f>
        <v>1362.1</v>
      </c>
      <c r="P65" s="47">
        <f aca="true" t="shared" si="29" ref="P65:P72">O65</f>
        <v>1362.1</v>
      </c>
      <c r="Q65" s="219">
        <v>1362.1</v>
      </c>
      <c r="R65" s="219"/>
      <c r="S65" s="219"/>
    </row>
    <row r="66" spans="1:19" s="39" customFormat="1" ht="15.75">
      <c r="A66" s="222" t="s">
        <v>109</v>
      </c>
      <c r="B66" s="49">
        <f t="shared" si="26"/>
        <v>67</v>
      </c>
      <c r="C66" s="49">
        <v>21</v>
      </c>
      <c r="D66" s="49">
        <v>12</v>
      </c>
      <c r="E66" s="49">
        <v>34</v>
      </c>
      <c r="F66" s="49">
        <v>419</v>
      </c>
      <c r="G66" s="49">
        <v>2.5</v>
      </c>
      <c r="H66" s="49">
        <v>1.26</v>
      </c>
      <c r="I66" s="220">
        <f t="shared" si="27"/>
        <v>1061.2</v>
      </c>
      <c r="J66" s="220">
        <v>1096531.3800000001</v>
      </c>
      <c r="K66" s="65"/>
      <c r="L66" s="65"/>
      <c r="M66" s="65"/>
      <c r="N66" s="65"/>
      <c r="O66" s="47">
        <f t="shared" si="28"/>
        <v>1061.2</v>
      </c>
      <c r="P66" s="47">
        <f t="shared" si="29"/>
        <v>1061.2</v>
      </c>
      <c r="Q66" s="219">
        <v>1061.2</v>
      </c>
      <c r="R66" s="219"/>
      <c r="S66" s="219"/>
    </row>
    <row r="67" spans="1:19" s="39" customFormat="1" ht="15.75">
      <c r="A67" s="222" t="s">
        <v>116</v>
      </c>
      <c r="B67" s="49">
        <f t="shared" si="26"/>
        <v>17</v>
      </c>
      <c r="C67" s="49">
        <v>4</v>
      </c>
      <c r="D67" s="49">
        <v>0</v>
      </c>
      <c r="E67" s="49">
        <v>13</v>
      </c>
      <c r="F67" s="49">
        <v>419</v>
      </c>
      <c r="G67" s="49">
        <v>2.7</v>
      </c>
      <c r="H67" s="49">
        <v>1.26</v>
      </c>
      <c r="I67" s="220">
        <f t="shared" si="27"/>
        <v>290.8</v>
      </c>
      <c r="J67" s="220">
        <v>300482.3304000001</v>
      </c>
      <c r="K67" s="65"/>
      <c r="L67" s="65"/>
      <c r="M67" s="65"/>
      <c r="N67" s="65"/>
      <c r="O67" s="47">
        <f t="shared" si="28"/>
        <v>290.8</v>
      </c>
      <c r="P67" s="47">
        <f t="shared" si="29"/>
        <v>290.8</v>
      </c>
      <c r="Q67" s="219">
        <v>290.8</v>
      </c>
      <c r="R67" s="219"/>
      <c r="S67" s="219"/>
    </row>
    <row r="68" spans="1:19" s="39" customFormat="1" ht="15.75">
      <c r="A68" s="222" t="s">
        <v>112</v>
      </c>
      <c r="B68" s="49">
        <f t="shared" si="26"/>
        <v>39</v>
      </c>
      <c r="C68" s="49">
        <v>15</v>
      </c>
      <c r="D68" s="49">
        <v>8</v>
      </c>
      <c r="E68" s="49">
        <v>16</v>
      </c>
      <c r="F68" s="49">
        <v>419</v>
      </c>
      <c r="G68" s="49">
        <v>2.5</v>
      </c>
      <c r="H68" s="49">
        <v>1.26</v>
      </c>
      <c r="I68" s="220">
        <f t="shared" si="27"/>
        <v>617.7</v>
      </c>
      <c r="J68" s="220">
        <v>638279.46</v>
      </c>
      <c r="K68" s="65"/>
      <c r="L68" s="65"/>
      <c r="M68" s="65"/>
      <c r="N68" s="65"/>
      <c r="O68" s="47">
        <f t="shared" si="28"/>
        <v>617.7</v>
      </c>
      <c r="P68" s="47">
        <f t="shared" si="29"/>
        <v>617.7</v>
      </c>
      <c r="Q68" s="219">
        <v>617.7</v>
      </c>
      <c r="R68" s="219"/>
      <c r="S68" s="219"/>
    </row>
    <row r="69" spans="1:19" s="39" customFormat="1" ht="15.75">
      <c r="A69" s="222" t="s">
        <v>117</v>
      </c>
      <c r="B69" s="49">
        <f t="shared" si="26"/>
        <v>58</v>
      </c>
      <c r="C69" s="49">
        <v>11</v>
      </c>
      <c r="D69" s="49">
        <v>10</v>
      </c>
      <c r="E69" s="49">
        <v>37</v>
      </c>
      <c r="F69" s="49">
        <v>419</v>
      </c>
      <c r="G69" s="49">
        <v>2.5</v>
      </c>
      <c r="H69" s="49">
        <v>1.26</v>
      </c>
      <c r="I69" s="220">
        <f t="shared" si="27"/>
        <v>918.6</v>
      </c>
      <c r="J69" s="220">
        <v>949236.1200000001</v>
      </c>
      <c r="K69" s="65"/>
      <c r="L69" s="65"/>
      <c r="M69" s="65"/>
      <c r="N69" s="65"/>
      <c r="O69" s="47">
        <f t="shared" si="28"/>
        <v>918.6</v>
      </c>
      <c r="P69" s="47">
        <f t="shared" si="29"/>
        <v>918.6</v>
      </c>
      <c r="Q69" s="219">
        <v>918.6</v>
      </c>
      <c r="R69" s="219"/>
      <c r="S69" s="219"/>
    </row>
    <row r="70" spans="1:19" s="39" customFormat="1" ht="15.75">
      <c r="A70" s="222" t="s">
        <v>118</v>
      </c>
      <c r="B70" s="49">
        <f t="shared" si="26"/>
        <v>39</v>
      </c>
      <c r="C70" s="49">
        <v>6</v>
      </c>
      <c r="D70" s="49">
        <v>6</v>
      </c>
      <c r="E70" s="49">
        <v>27</v>
      </c>
      <c r="F70" s="49">
        <v>419</v>
      </c>
      <c r="G70" s="49">
        <v>2.5</v>
      </c>
      <c r="H70" s="49">
        <v>1.26</v>
      </c>
      <c r="I70" s="220">
        <f t="shared" si="27"/>
        <v>617.7</v>
      </c>
      <c r="J70" s="220">
        <v>638279.46</v>
      </c>
      <c r="K70" s="65"/>
      <c r="L70" s="65"/>
      <c r="M70" s="65"/>
      <c r="N70" s="65"/>
      <c r="O70" s="47">
        <f t="shared" si="28"/>
        <v>617.7</v>
      </c>
      <c r="P70" s="47">
        <f t="shared" si="29"/>
        <v>617.7</v>
      </c>
      <c r="Q70" s="219">
        <v>617.7</v>
      </c>
      <c r="R70" s="219"/>
      <c r="S70" s="219"/>
    </row>
    <row r="71" spans="1:19" s="39" customFormat="1" ht="15.75">
      <c r="A71" s="222" t="s">
        <v>119</v>
      </c>
      <c r="B71" s="49">
        <f t="shared" si="26"/>
        <v>70</v>
      </c>
      <c r="C71" s="49">
        <v>16</v>
      </c>
      <c r="D71" s="49">
        <v>19</v>
      </c>
      <c r="E71" s="49">
        <v>35</v>
      </c>
      <c r="F71" s="49">
        <v>419</v>
      </c>
      <c r="G71" s="49">
        <v>2.5</v>
      </c>
      <c r="H71" s="49">
        <v>1.26</v>
      </c>
      <c r="I71" s="220">
        <f t="shared" si="27"/>
        <v>1108.7</v>
      </c>
      <c r="J71" s="220">
        <v>1145629.8</v>
      </c>
      <c r="K71" s="65"/>
      <c r="L71" s="65"/>
      <c r="M71" s="65"/>
      <c r="N71" s="65"/>
      <c r="O71" s="47">
        <f t="shared" si="28"/>
        <v>1108.7</v>
      </c>
      <c r="P71" s="47">
        <f t="shared" si="29"/>
        <v>1108.7</v>
      </c>
      <c r="Q71" s="219">
        <v>1108.7</v>
      </c>
      <c r="R71" s="219"/>
      <c r="S71" s="219"/>
    </row>
    <row r="72" spans="1:19" s="39" customFormat="1" ht="15.75">
      <c r="A72" s="222" t="s">
        <v>120</v>
      </c>
      <c r="B72" s="49">
        <f t="shared" si="26"/>
        <v>100</v>
      </c>
      <c r="C72" s="49">
        <v>28</v>
      </c>
      <c r="D72" s="49">
        <v>18</v>
      </c>
      <c r="E72" s="49">
        <v>54</v>
      </c>
      <c r="F72" s="49">
        <v>419</v>
      </c>
      <c r="G72" s="49">
        <v>2.5</v>
      </c>
      <c r="H72" s="49">
        <v>1.26</v>
      </c>
      <c r="I72" s="220">
        <f t="shared" si="27"/>
        <v>1583.8</v>
      </c>
      <c r="J72" s="220">
        <v>1636614</v>
      </c>
      <c r="K72" s="65"/>
      <c r="L72" s="65"/>
      <c r="M72" s="65"/>
      <c r="N72" s="65"/>
      <c r="O72" s="47">
        <f t="shared" si="28"/>
        <v>1583.8</v>
      </c>
      <c r="P72" s="47">
        <f t="shared" si="29"/>
        <v>1583.8</v>
      </c>
      <c r="Q72" s="219">
        <v>1583.8</v>
      </c>
      <c r="R72" s="219"/>
      <c r="S72" s="219"/>
    </row>
    <row r="73" spans="1:19" s="39" customFormat="1" ht="15.75">
      <c r="A73" s="218" t="s">
        <v>250</v>
      </c>
      <c r="B73" s="49">
        <f>SUM(B74:B82)</f>
        <v>48</v>
      </c>
      <c r="C73" s="49">
        <f>SUM(C74:C82)</f>
        <v>14</v>
      </c>
      <c r="D73" s="49">
        <f>SUM(D74:D82)</f>
        <v>15</v>
      </c>
      <c r="E73" s="49">
        <f>SUM(E74:E82)</f>
        <v>19</v>
      </c>
      <c r="F73" s="49"/>
      <c r="G73" s="49"/>
      <c r="H73" s="49"/>
      <c r="I73" s="220">
        <f aca="true" t="shared" si="30" ref="I73:P73">SUM(I74:I82)</f>
        <v>380.5</v>
      </c>
      <c r="J73" s="220">
        <f t="shared" si="30"/>
        <v>1446905.8296000003</v>
      </c>
      <c r="K73" s="215">
        <f t="shared" si="30"/>
        <v>0</v>
      </c>
      <c r="L73" s="215">
        <f t="shared" si="30"/>
        <v>0</v>
      </c>
      <c r="M73" s="215">
        <f t="shared" si="30"/>
        <v>0</v>
      </c>
      <c r="N73" s="215">
        <f t="shared" si="30"/>
        <v>0</v>
      </c>
      <c r="O73" s="215">
        <f t="shared" si="30"/>
        <v>380.5</v>
      </c>
      <c r="P73" s="215">
        <f t="shared" si="30"/>
        <v>380.5</v>
      </c>
      <c r="Q73" s="219">
        <v>380.5</v>
      </c>
      <c r="R73" s="219"/>
      <c r="S73" s="219"/>
    </row>
    <row r="74" spans="1:19" s="39" customFormat="1" ht="15.75">
      <c r="A74" s="222" t="s">
        <v>14</v>
      </c>
      <c r="B74" s="49">
        <v>24</v>
      </c>
      <c r="C74" s="49">
        <v>8</v>
      </c>
      <c r="D74" s="49">
        <v>7</v>
      </c>
      <c r="E74" s="49">
        <v>9</v>
      </c>
      <c r="F74" s="49">
        <v>209</v>
      </c>
      <c r="G74" s="49">
        <v>2.5</v>
      </c>
      <c r="H74" s="49">
        <v>1.26</v>
      </c>
      <c r="I74" s="220">
        <f>ROUND(B74*F74*G74*H74*12/1000,1)</f>
        <v>189.6</v>
      </c>
      <c r="J74" s="220">
        <v>971461.26</v>
      </c>
      <c r="K74" s="65"/>
      <c r="L74" s="65"/>
      <c r="M74" s="65"/>
      <c r="N74" s="65"/>
      <c r="O74" s="47">
        <f>I74</f>
        <v>189.6</v>
      </c>
      <c r="P74" s="47">
        <f>O74</f>
        <v>189.6</v>
      </c>
      <c r="Q74" s="219">
        <v>189.6</v>
      </c>
      <c r="R74" s="219"/>
      <c r="S74" s="219"/>
    </row>
    <row r="75" spans="1:19" s="39" customFormat="1" ht="15.75">
      <c r="A75" s="222" t="s">
        <v>113</v>
      </c>
      <c r="B75" s="49">
        <v>7</v>
      </c>
      <c r="C75" s="49">
        <v>2</v>
      </c>
      <c r="D75" s="49">
        <v>3</v>
      </c>
      <c r="E75" s="49">
        <v>2</v>
      </c>
      <c r="F75" s="49">
        <v>209</v>
      </c>
      <c r="G75" s="49">
        <v>2.5</v>
      </c>
      <c r="H75" s="49">
        <v>1.26</v>
      </c>
      <c r="I75" s="220">
        <f aca="true" t="shared" si="31" ref="I75:I82">ROUND(B75*F75*G75*H75*12/1000,1)</f>
        <v>55.3</v>
      </c>
      <c r="J75" s="220">
        <v>138780.18000000002</v>
      </c>
      <c r="K75" s="65"/>
      <c r="L75" s="65"/>
      <c r="M75" s="65"/>
      <c r="N75" s="65"/>
      <c r="O75" s="47">
        <f aca="true" t="shared" si="32" ref="O75:O82">I75</f>
        <v>55.3</v>
      </c>
      <c r="P75" s="47">
        <f aca="true" t="shared" si="33" ref="P75:P82">O75</f>
        <v>55.3</v>
      </c>
      <c r="Q75" s="219">
        <v>55.3</v>
      </c>
      <c r="R75" s="219"/>
      <c r="S75" s="219"/>
    </row>
    <row r="76" spans="1:19" s="39" customFormat="1" ht="15.75">
      <c r="A76" s="222" t="s">
        <v>109</v>
      </c>
      <c r="B76" s="49">
        <v>5</v>
      </c>
      <c r="C76" s="49">
        <v>2</v>
      </c>
      <c r="D76" s="49">
        <v>2</v>
      </c>
      <c r="E76" s="49">
        <v>1</v>
      </c>
      <c r="F76" s="49">
        <v>209</v>
      </c>
      <c r="G76" s="49">
        <v>2.5</v>
      </c>
      <c r="H76" s="49">
        <v>1.26</v>
      </c>
      <c r="I76" s="220">
        <f t="shared" si="31"/>
        <v>39.5</v>
      </c>
      <c r="J76" s="220">
        <v>73471.86000000002</v>
      </c>
      <c r="K76" s="65"/>
      <c r="L76" s="65"/>
      <c r="M76" s="65"/>
      <c r="N76" s="65"/>
      <c r="O76" s="47">
        <f t="shared" si="32"/>
        <v>39.5</v>
      </c>
      <c r="P76" s="47">
        <f t="shared" si="33"/>
        <v>39.5</v>
      </c>
      <c r="Q76" s="219">
        <v>39.5</v>
      </c>
      <c r="R76" s="219"/>
      <c r="S76" s="219"/>
    </row>
    <row r="77" spans="1:19" s="39" customFormat="1" ht="15.75">
      <c r="A77" s="222" t="s">
        <v>116</v>
      </c>
      <c r="B77" s="49">
        <f aca="true" t="shared" si="34" ref="B77:B82">C77+D77+E77</f>
        <v>2</v>
      </c>
      <c r="C77" s="49">
        <v>0</v>
      </c>
      <c r="D77" s="49">
        <v>0</v>
      </c>
      <c r="E77" s="49">
        <v>2</v>
      </c>
      <c r="F77" s="49">
        <v>209</v>
      </c>
      <c r="G77" s="49">
        <v>2.7</v>
      </c>
      <c r="H77" s="49">
        <v>1.26</v>
      </c>
      <c r="I77" s="220">
        <f t="shared" si="31"/>
        <v>17.1</v>
      </c>
      <c r="J77" s="220">
        <v>26449.869599999998</v>
      </c>
      <c r="K77" s="65"/>
      <c r="L77" s="65"/>
      <c r="M77" s="65"/>
      <c r="N77" s="65"/>
      <c r="O77" s="47">
        <f t="shared" si="32"/>
        <v>17.1</v>
      </c>
      <c r="P77" s="47">
        <f t="shared" si="33"/>
        <v>17.1</v>
      </c>
      <c r="Q77" s="219">
        <v>17.1</v>
      </c>
      <c r="R77" s="219"/>
      <c r="S77" s="219"/>
    </row>
    <row r="78" spans="1:19" s="39" customFormat="1" ht="15.75">
      <c r="A78" s="222" t="s">
        <v>112</v>
      </c>
      <c r="B78" s="49">
        <f t="shared" si="34"/>
        <v>1</v>
      </c>
      <c r="C78" s="49">
        <v>0</v>
      </c>
      <c r="D78" s="49">
        <v>0</v>
      </c>
      <c r="E78" s="49">
        <v>1</v>
      </c>
      <c r="F78" s="49">
        <v>209</v>
      </c>
      <c r="G78" s="49">
        <v>2.5</v>
      </c>
      <c r="H78" s="49">
        <v>1.26</v>
      </c>
      <c r="I78" s="220">
        <f t="shared" si="31"/>
        <v>7.9</v>
      </c>
      <c r="J78" s="220">
        <v>8163.540000000001</v>
      </c>
      <c r="K78" s="65"/>
      <c r="L78" s="65"/>
      <c r="M78" s="65"/>
      <c r="N78" s="65"/>
      <c r="O78" s="47">
        <f t="shared" si="32"/>
        <v>7.9</v>
      </c>
      <c r="P78" s="47">
        <f t="shared" si="33"/>
        <v>7.9</v>
      </c>
      <c r="Q78" s="219">
        <v>7.9</v>
      </c>
      <c r="R78" s="219"/>
      <c r="S78" s="219"/>
    </row>
    <row r="79" spans="1:19" s="39" customFormat="1" ht="15.75">
      <c r="A79" s="222" t="s">
        <v>117</v>
      </c>
      <c r="B79" s="49">
        <f t="shared" si="34"/>
        <v>4</v>
      </c>
      <c r="C79" s="49">
        <v>1</v>
      </c>
      <c r="D79" s="49">
        <v>1</v>
      </c>
      <c r="E79" s="49">
        <v>2</v>
      </c>
      <c r="F79" s="49">
        <v>209</v>
      </c>
      <c r="G79" s="49">
        <v>2.5</v>
      </c>
      <c r="H79" s="49">
        <v>1.26</v>
      </c>
      <c r="I79" s="220">
        <f t="shared" si="31"/>
        <v>31.6</v>
      </c>
      <c r="J79" s="220">
        <v>57144.780000000006</v>
      </c>
      <c r="K79" s="65"/>
      <c r="L79" s="65"/>
      <c r="M79" s="65"/>
      <c r="N79" s="65"/>
      <c r="O79" s="47">
        <f t="shared" si="32"/>
        <v>31.6</v>
      </c>
      <c r="P79" s="47">
        <f t="shared" si="33"/>
        <v>31.6</v>
      </c>
      <c r="Q79" s="219">
        <v>31.6</v>
      </c>
      <c r="R79" s="219"/>
      <c r="S79" s="219"/>
    </row>
    <row r="80" spans="1:19" s="39" customFormat="1" ht="15.75">
      <c r="A80" s="222" t="s">
        <v>118</v>
      </c>
      <c r="B80" s="49">
        <f t="shared" si="34"/>
        <v>3</v>
      </c>
      <c r="C80" s="49">
        <v>1</v>
      </c>
      <c r="D80" s="49">
        <v>1</v>
      </c>
      <c r="E80" s="49">
        <v>1</v>
      </c>
      <c r="F80" s="49">
        <v>209</v>
      </c>
      <c r="G80" s="49">
        <v>2.5</v>
      </c>
      <c r="H80" s="49">
        <v>1.26</v>
      </c>
      <c r="I80" s="220">
        <f t="shared" si="31"/>
        <v>23.7</v>
      </c>
      <c r="J80" s="220">
        <v>73471.86000000002</v>
      </c>
      <c r="K80" s="65"/>
      <c r="L80" s="65"/>
      <c r="M80" s="65"/>
      <c r="N80" s="65"/>
      <c r="O80" s="47">
        <f t="shared" si="32"/>
        <v>23.7</v>
      </c>
      <c r="P80" s="47">
        <f t="shared" si="33"/>
        <v>23.7</v>
      </c>
      <c r="Q80" s="219">
        <v>23.7</v>
      </c>
      <c r="R80" s="219"/>
      <c r="S80" s="219"/>
    </row>
    <row r="81" spans="1:19" s="39" customFormat="1" ht="15.75">
      <c r="A81" s="222" t="s">
        <v>119</v>
      </c>
      <c r="B81" s="49">
        <f t="shared" si="34"/>
        <v>2</v>
      </c>
      <c r="C81" s="49">
        <v>0</v>
      </c>
      <c r="D81" s="49">
        <v>1</v>
      </c>
      <c r="E81" s="49">
        <v>1</v>
      </c>
      <c r="F81" s="49">
        <v>209</v>
      </c>
      <c r="G81" s="49">
        <v>2.5</v>
      </c>
      <c r="H81" s="49">
        <v>1.26</v>
      </c>
      <c r="I81" s="220">
        <f t="shared" si="31"/>
        <v>15.8</v>
      </c>
      <c r="J81" s="220">
        <v>89798.94</v>
      </c>
      <c r="K81" s="65"/>
      <c r="L81" s="65"/>
      <c r="M81" s="65"/>
      <c r="N81" s="65"/>
      <c r="O81" s="47">
        <f t="shared" si="32"/>
        <v>15.8</v>
      </c>
      <c r="P81" s="47">
        <f t="shared" si="33"/>
        <v>15.8</v>
      </c>
      <c r="Q81" s="219">
        <v>15.8</v>
      </c>
      <c r="R81" s="219"/>
      <c r="S81" s="219"/>
    </row>
    <row r="82" spans="1:19" s="39" customFormat="1" ht="15.75">
      <c r="A82" s="222" t="s">
        <v>120</v>
      </c>
      <c r="B82" s="49">
        <f t="shared" si="34"/>
        <v>0</v>
      </c>
      <c r="C82" s="49">
        <v>0</v>
      </c>
      <c r="D82" s="49">
        <v>0</v>
      </c>
      <c r="E82" s="49">
        <v>0</v>
      </c>
      <c r="F82" s="49">
        <v>209</v>
      </c>
      <c r="G82" s="49">
        <v>2.5</v>
      </c>
      <c r="H82" s="49">
        <v>1.26</v>
      </c>
      <c r="I82" s="220">
        <f t="shared" si="31"/>
        <v>0</v>
      </c>
      <c r="J82" s="220">
        <v>8163.540000000001</v>
      </c>
      <c r="K82" s="65"/>
      <c r="L82" s="65"/>
      <c r="M82" s="65"/>
      <c r="N82" s="65"/>
      <c r="O82" s="47">
        <f t="shared" si="32"/>
        <v>0</v>
      </c>
      <c r="P82" s="47">
        <f t="shared" si="33"/>
        <v>0</v>
      </c>
      <c r="Q82" s="219">
        <v>0</v>
      </c>
      <c r="R82" s="219"/>
      <c r="S82" s="219"/>
    </row>
    <row r="83" spans="1:19" s="39" customFormat="1" ht="30" customHeight="1">
      <c r="A83" s="223" t="s">
        <v>251</v>
      </c>
      <c r="B83" s="49" t="s">
        <v>236</v>
      </c>
      <c r="C83" s="49"/>
      <c r="D83" s="49"/>
      <c r="E83" s="49"/>
      <c r="F83" s="49" t="s">
        <v>252</v>
      </c>
      <c r="G83" s="49" t="s">
        <v>246</v>
      </c>
      <c r="H83" s="49" t="s">
        <v>241</v>
      </c>
      <c r="I83" s="220"/>
      <c r="J83" s="220"/>
      <c r="K83" s="65"/>
      <c r="L83" s="65"/>
      <c r="M83" s="65"/>
      <c r="N83" s="65"/>
      <c r="O83" s="65"/>
      <c r="P83" s="65"/>
      <c r="Q83" s="220"/>
      <c r="R83" s="220"/>
      <c r="S83" s="220"/>
    </row>
    <row r="84" spans="1:19" s="39" customFormat="1" ht="60" customHeight="1">
      <c r="A84" s="218" t="s">
        <v>253</v>
      </c>
      <c r="B84" s="49">
        <f>SUM(B85:B93)</f>
        <v>55</v>
      </c>
      <c r="C84" s="49">
        <f>SUM(C85:C93)</f>
        <v>11</v>
      </c>
      <c r="D84" s="49">
        <f>SUM(D85:D93)</f>
        <v>13</v>
      </c>
      <c r="E84" s="49">
        <f>SUM(E85:E93)</f>
        <v>31</v>
      </c>
      <c r="F84" s="49"/>
      <c r="G84" s="49"/>
      <c r="H84" s="49"/>
      <c r="I84" s="220">
        <f aca="true" t="shared" si="35" ref="I84:P84">SUM(I85:I93)</f>
        <v>1870.9999999999998</v>
      </c>
      <c r="J84" s="220">
        <f t="shared" si="35"/>
        <v>1933470</v>
      </c>
      <c r="K84" s="215">
        <f t="shared" si="35"/>
        <v>0</v>
      </c>
      <c r="L84" s="215">
        <f t="shared" si="35"/>
        <v>0</v>
      </c>
      <c r="M84" s="215">
        <f t="shared" si="35"/>
        <v>0</v>
      </c>
      <c r="N84" s="215">
        <f t="shared" si="35"/>
        <v>0</v>
      </c>
      <c r="O84" s="215">
        <f t="shared" si="35"/>
        <v>1870.9999999999998</v>
      </c>
      <c r="P84" s="215">
        <f t="shared" si="35"/>
        <v>1870.9999999999998</v>
      </c>
      <c r="Q84" s="219">
        <v>1871</v>
      </c>
      <c r="R84" s="219"/>
      <c r="S84" s="219"/>
    </row>
    <row r="85" spans="1:19" s="39" customFormat="1" ht="14.25" customHeight="1">
      <c r="A85" s="222" t="s">
        <v>14</v>
      </c>
      <c r="B85" s="49">
        <f>C85+D85+E85</f>
        <v>35</v>
      </c>
      <c r="C85" s="49">
        <v>7</v>
      </c>
      <c r="D85" s="49">
        <v>4</v>
      </c>
      <c r="E85" s="49">
        <v>24</v>
      </c>
      <c r="F85" s="49">
        <v>900</v>
      </c>
      <c r="G85" s="49">
        <v>2.5</v>
      </c>
      <c r="H85" s="49">
        <v>1.26</v>
      </c>
      <c r="I85" s="220">
        <f>ROUND(B85*F85*G85*H85*12/1000,1)</f>
        <v>1190.7</v>
      </c>
      <c r="J85" s="220">
        <v>1230390</v>
      </c>
      <c r="K85" s="65"/>
      <c r="L85" s="65"/>
      <c r="M85" s="65"/>
      <c r="N85" s="65"/>
      <c r="O85" s="47">
        <f>I85</f>
        <v>1190.7</v>
      </c>
      <c r="P85" s="47">
        <f>O85</f>
        <v>1190.7</v>
      </c>
      <c r="Q85" s="219">
        <v>1190.7</v>
      </c>
      <c r="R85" s="219"/>
      <c r="S85" s="219"/>
    </row>
    <row r="86" spans="1:19" s="39" customFormat="1" ht="14.25" customHeight="1">
      <c r="A86" s="222" t="s">
        <v>113</v>
      </c>
      <c r="B86" s="49">
        <f aca="true" t="shared" si="36" ref="B86:B93">C86+D86+E86</f>
        <v>3</v>
      </c>
      <c r="C86" s="49">
        <v>2</v>
      </c>
      <c r="D86" s="49">
        <v>0</v>
      </c>
      <c r="E86" s="49">
        <v>1</v>
      </c>
      <c r="F86" s="49">
        <v>900</v>
      </c>
      <c r="G86" s="49">
        <v>2.5</v>
      </c>
      <c r="H86" s="49">
        <v>1.26</v>
      </c>
      <c r="I86" s="220">
        <f aca="true" t="shared" si="37" ref="I86:I93">ROUND(B86*F86*G86*H86*12/1000,1)</f>
        <v>102.1</v>
      </c>
      <c r="J86" s="220">
        <v>105462</v>
      </c>
      <c r="K86" s="65"/>
      <c r="L86" s="65"/>
      <c r="M86" s="65"/>
      <c r="N86" s="65"/>
      <c r="O86" s="47">
        <f aca="true" t="shared" si="38" ref="O86:O93">I86</f>
        <v>102.1</v>
      </c>
      <c r="P86" s="47">
        <f aca="true" t="shared" si="39" ref="P86:P93">O86</f>
        <v>102.1</v>
      </c>
      <c r="Q86" s="219">
        <v>102.1</v>
      </c>
      <c r="R86" s="219"/>
      <c r="S86" s="219"/>
    </row>
    <row r="87" spans="1:19" s="39" customFormat="1" ht="14.25" customHeight="1">
      <c r="A87" s="222" t="s">
        <v>109</v>
      </c>
      <c r="B87" s="49">
        <f t="shared" si="36"/>
        <v>2</v>
      </c>
      <c r="C87" s="49">
        <v>0</v>
      </c>
      <c r="D87" s="49">
        <v>0</v>
      </c>
      <c r="E87" s="49">
        <v>2</v>
      </c>
      <c r="F87" s="49">
        <v>900</v>
      </c>
      <c r="G87" s="49">
        <v>2.5</v>
      </c>
      <c r="H87" s="49">
        <v>1.26</v>
      </c>
      <c r="I87" s="220">
        <f t="shared" si="37"/>
        <v>68</v>
      </c>
      <c r="J87" s="220">
        <v>70308</v>
      </c>
      <c r="K87" s="65"/>
      <c r="L87" s="65"/>
      <c r="M87" s="65"/>
      <c r="N87" s="65"/>
      <c r="O87" s="47">
        <f t="shared" si="38"/>
        <v>68</v>
      </c>
      <c r="P87" s="47">
        <f t="shared" si="39"/>
        <v>68</v>
      </c>
      <c r="Q87" s="219">
        <v>68</v>
      </c>
      <c r="R87" s="219"/>
      <c r="S87" s="219"/>
    </row>
    <row r="88" spans="1:19" s="39" customFormat="1" ht="14.25" customHeight="1">
      <c r="A88" s="222" t="s">
        <v>116</v>
      </c>
      <c r="B88" s="49">
        <f t="shared" si="36"/>
        <v>0</v>
      </c>
      <c r="C88" s="49">
        <v>0</v>
      </c>
      <c r="D88" s="49">
        <v>0</v>
      </c>
      <c r="E88" s="49">
        <v>0</v>
      </c>
      <c r="F88" s="49">
        <v>900</v>
      </c>
      <c r="G88" s="49">
        <v>2.7</v>
      </c>
      <c r="H88" s="49">
        <v>1.26</v>
      </c>
      <c r="I88" s="220">
        <f t="shared" si="37"/>
        <v>0</v>
      </c>
      <c r="J88" s="220">
        <v>0</v>
      </c>
      <c r="K88" s="65"/>
      <c r="L88" s="65"/>
      <c r="M88" s="65"/>
      <c r="N88" s="65"/>
      <c r="O88" s="47">
        <f t="shared" si="38"/>
        <v>0</v>
      </c>
      <c r="P88" s="47">
        <f t="shared" si="39"/>
        <v>0</v>
      </c>
      <c r="Q88" s="219">
        <v>0</v>
      </c>
      <c r="R88" s="219"/>
      <c r="S88" s="219"/>
    </row>
    <row r="89" spans="1:19" s="39" customFormat="1" ht="14.25" customHeight="1">
      <c r="A89" s="222" t="s">
        <v>112</v>
      </c>
      <c r="B89" s="49">
        <f t="shared" si="36"/>
        <v>6</v>
      </c>
      <c r="C89" s="49">
        <v>1</v>
      </c>
      <c r="D89" s="49">
        <v>5</v>
      </c>
      <c r="E89" s="49">
        <v>0</v>
      </c>
      <c r="F89" s="49">
        <v>900</v>
      </c>
      <c r="G89" s="49">
        <v>2.5</v>
      </c>
      <c r="H89" s="49">
        <v>1.26</v>
      </c>
      <c r="I89" s="220">
        <f t="shared" si="37"/>
        <v>204.1</v>
      </c>
      <c r="J89" s="220">
        <v>210924</v>
      </c>
      <c r="K89" s="65"/>
      <c r="L89" s="65"/>
      <c r="M89" s="65"/>
      <c r="N89" s="65"/>
      <c r="O89" s="47">
        <f t="shared" si="38"/>
        <v>204.1</v>
      </c>
      <c r="P89" s="47">
        <f t="shared" si="39"/>
        <v>204.1</v>
      </c>
      <c r="Q89" s="219">
        <v>204.1</v>
      </c>
      <c r="R89" s="219"/>
      <c r="S89" s="219"/>
    </row>
    <row r="90" spans="1:19" s="39" customFormat="1" ht="14.25" customHeight="1">
      <c r="A90" s="222" t="s">
        <v>117</v>
      </c>
      <c r="B90" s="49">
        <f t="shared" si="36"/>
        <v>2</v>
      </c>
      <c r="C90" s="49">
        <v>0</v>
      </c>
      <c r="D90" s="49">
        <v>1</v>
      </c>
      <c r="E90" s="49">
        <v>1</v>
      </c>
      <c r="F90" s="49">
        <v>900</v>
      </c>
      <c r="G90" s="49">
        <v>2.5</v>
      </c>
      <c r="H90" s="49">
        <v>1.26</v>
      </c>
      <c r="I90" s="220">
        <f t="shared" si="37"/>
        <v>68</v>
      </c>
      <c r="J90" s="220">
        <v>70308</v>
      </c>
      <c r="K90" s="65"/>
      <c r="L90" s="65"/>
      <c r="M90" s="65"/>
      <c r="N90" s="65"/>
      <c r="O90" s="47">
        <f t="shared" si="38"/>
        <v>68</v>
      </c>
      <c r="P90" s="47">
        <f t="shared" si="39"/>
        <v>68</v>
      </c>
      <c r="Q90" s="219">
        <v>68</v>
      </c>
      <c r="R90" s="219"/>
      <c r="S90" s="219"/>
    </row>
    <row r="91" spans="1:19" s="39" customFormat="1" ht="16.5" customHeight="1">
      <c r="A91" s="222" t="s">
        <v>118</v>
      </c>
      <c r="B91" s="49">
        <f t="shared" si="36"/>
        <v>1</v>
      </c>
      <c r="C91" s="49">
        <v>1</v>
      </c>
      <c r="D91" s="49">
        <v>0</v>
      </c>
      <c r="E91" s="49">
        <v>0</v>
      </c>
      <c r="F91" s="49">
        <v>900</v>
      </c>
      <c r="G91" s="49">
        <v>2.5</v>
      </c>
      <c r="H91" s="49">
        <v>1.26</v>
      </c>
      <c r="I91" s="220">
        <f t="shared" si="37"/>
        <v>34</v>
      </c>
      <c r="J91" s="220">
        <v>35154</v>
      </c>
      <c r="K91" s="65"/>
      <c r="L91" s="65"/>
      <c r="M91" s="65"/>
      <c r="N91" s="65"/>
      <c r="O91" s="47">
        <f t="shared" si="38"/>
        <v>34</v>
      </c>
      <c r="P91" s="47">
        <f t="shared" si="39"/>
        <v>34</v>
      </c>
      <c r="Q91" s="219">
        <v>34</v>
      </c>
      <c r="R91" s="219"/>
      <c r="S91" s="219"/>
    </row>
    <row r="92" spans="1:19" s="39" customFormat="1" ht="15.75" customHeight="1">
      <c r="A92" s="222" t="s">
        <v>119</v>
      </c>
      <c r="B92" s="49">
        <f t="shared" si="36"/>
        <v>1</v>
      </c>
      <c r="C92" s="49">
        <v>0</v>
      </c>
      <c r="D92" s="49">
        <v>1</v>
      </c>
      <c r="E92" s="49">
        <v>0</v>
      </c>
      <c r="F92" s="49">
        <v>900</v>
      </c>
      <c r="G92" s="49">
        <v>2.5</v>
      </c>
      <c r="H92" s="49">
        <v>1.26</v>
      </c>
      <c r="I92" s="220">
        <f t="shared" si="37"/>
        <v>34</v>
      </c>
      <c r="J92" s="220">
        <v>35154</v>
      </c>
      <c r="K92" s="65"/>
      <c r="L92" s="65"/>
      <c r="M92" s="65"/>
      <c r="N92" s="65"/>
      <c r="O92" s="47">
        <f t="shared" si="38"/>
        <v>34</v>
      </c>
      <c r="P92" s="47">
        <f t="shared" si="39"/>
        <v>34</v>
      </c>
      <c r="Q92" s="219">
        <v>34</v>
      </c>
      <c r="R92" s="219"/>
      <c r="S92" s="219"/>
    </row>
    <row r="93" spans="1:19" s="39" customFormat="1" ht="18.75" customHeight="1">
      <c r="A93" s="222" t="s">
        <v>120</v>
      </c>
      <c r="B93" s="49">
        <f t="shared" si="36"/>
        <v>5</v>
      </c>
      <c r="C93" s="49">
        <v>0</v>
      </c>
      <c r="D93" s="49">
        <v>2</v>
      </c>
      <c r="E93" s="49">
        <v>3</v>
      </c>
      <c r="F93" s="49">
        <v>900</v>
      </c>
      <c r="G93" s="49">
        <v>2.5</v>
      </c>
      <c r="H93" s="49">
        <v>1.26</v>
      </c>
      <c r="I93" s="220">
        <f t="shared" si="37"/>
        <v>170.1</v>
      </c>
      <c r="J93" s="220">
        <v>175770</v>
      </c>
      <c r="K93" s="65"/>
      <c r="L93" s="65"/>
      <c r="M93" s="65"/>
      <c r="N93" s="65"/>
      <c r="O93" s="47">
        <f t="shared" si="38"/>
        <v>170.1</v>
      </c>
      <c r="P93" s="47">
        <f t="shared" si="39"/>
        <v>170.1</v>
      </c>
      <c r="Q93" s="219">
        <v>170.1</v>
      </c>
      <c r="R93" s="219"/>
      <c r="S93" s="219"/>
    </row>
    <row r="94" spans="1:19" s="39" customFormat="1" ht="18.75" customHeight="1">
      <c r="A94" s="223" t="s">
        <v>254</v>
      </c>
      <c r="B94" s="49" t="s">
        <v>236</v>
      </c>
      <c r="C94" s="49"/>
      <c r="D94" s="49"/>
      <c r="E94" s="49"/>
      <c r="F94" s="49" t="s">
        <v>252</v>
      </c>
      <c r="G94" s="49" t="s">
        <v>246</v>
      </c>
      <c r="H94" s="49" t="s">
        <v>241</v>
      </c>
      <c r="I94" s="220"/>
      <c r="J94" s="220"/>
      <c r="K94" s="65"/>
      <c r="L94" s="65"/>
      <c r="M94" s="65"/>
      <c r="N94" s="65"/>
      <c r="O94" s="65"/>
      <c r="P94" s="65"/>
      <c r="Q94" s="220"/>
      <c r="R94" s="220"/>
      <c r="S94" s="220"/>
    </row>
    <row r="95" spans="1:19" s="39" customFormat="1" ht="114.75" customHeight="1">
      <c r="A95" s="218" t="s">
        <v>255</v>
      </c>
      <c r="B95" s="49">
        <f>SUM(B96:B104)</f>
        <v>15</v>
      </c>
      <c r="C95" s="49">
        <f>SUM(C96:C104)</f>
        <v>1</v>
      </c>
      <c r="D95" s="49">
        <f>SUM(D96:D104)</f>
        <v>2</v>
      </c>
      <c r="E95" s="49">
        <f>SUM(E96:E104)</f>
        <v>12</v>
      </c>
      <c r="F95" s="49"/>
      <c r="G95" s="49"/>
      <c r="H95" s="49"/>
      <c r="I95" s="220">
        <f>SUM(I96:I104)</f>
        <v>349.70000000000005</v>
      </c>
      <c r="J95" s="220">
        <f aca="true" t="shared" si="40" ref="J95:P95">SUM(J96:J104)</f>
        <v>652926.96</v>
      </c>
      <c r="K95" s="215">
        <f t="shared" si="40"/>
        <v>0</v>
      </c>
      <c r="L95" s="215">
        <f t="shared" si="40"/>
        <v>0</v>
      </c>
      <c r="M95" s="215">
        <f t="shared" si="40"/>
        <v>0</v>
      </c>
      <c r="N95" s="215">
        <f t="shared" si="40"/>
        <v>0</v>
      </c>
      <c r="O95" s="215">
        <f t="shared" si="40"/>
        <v>349.70000000000005</v>
      </c>
      <c r="P95" s="215">
        <f t="shared" si="40"/>
        <v>349.70000000000005</v>
      </c>
      <c r="Q95" s="219">
        <v>338.5</v>
      </c>
      <c r="R95" s="219"/>
      <c r="S95" s="219"/>
    </row>
    <row r="96" spans="1:19" s="39" customFormat="1" ht="15.75" customHeight="1">
      <c r="A96" s="218" t="s">
        <v>14</v>
      </c>
      <c r="B96" s="49">
        <f>C96+D96+E96</f>
        <v>13</v>
      </c>
      <c r="C96" s="49">
        <v>0</v>
      </c>
      <c r="D96" s="49">
        <v>2</v>
      </c>
      <c r="E96" s="49">
        <v>11</v>
      </c>
      <c r="F96" s="49">
        <v>597</v>
      </c>
      <c r="G96" s="49">
        <v>2.5</v>
      </c>
      <c r="H96" s="49">
        <v>1.302</v>
      </c>
      <c r="I96" s="220">
        <f aca="true" t="shared" si="41" ref="I96:I104">ROUND(B96*F96*G96*H96*12/1000,1)</f>
        <v>303.1</v>
      </c>
      <c r="J96" s="220">
        <v>489695.2200000001</v>
      </c>
      <c r="K96" s="65"/>
      <c r="L96" s="65"/>
      <c r="M96" s="65"/>
      <c r="N96" s="65"/>
      <c r="O96" s="47">
        <f>I96</f>
        <v>303.1</v>
      </c>
      <c r="P96" s="47">
        <f>O96</f>
        <v>303.1</v>
      </c>
      <c r="Q96" s="219">
        <v>293.4</v>
      </c>
      <c r="R96" s="219"/>
      <c r="S96" s="219"/>
    </row>
    <row r="97" spans="1:19" s="39" customFormat="1" ht="15.75" customHeight="1">
      <c r="A97" s="218" t="s">
        <v>113</v>
      </c>
      <c r="B97" s="49">
        <f aca="true" t="shared" si="42" ref="B97:B104">C97+D97+E97</f>
        <v>2</v>
      </c>
      <c r="C97" s="49">
        <v>1</v>
      </c>
      <c r="D97" s="49">
        <v>0</v>
      </c>
      <c r="E97" s="49">
        <v>1</v>
      </c>
      <c r="F97" s="49">
        <v>597</v>
      </c>
      <c r="G97" s="49">
        <v>2.5</v>
      </c>
      <c r="H97" s="49">
        <v>1.302</v>
      </c>
      <c r="I97" s="220">
        <f t="shared" si="41"/>
        <v>46.6</v>
      </c>
      <c r="J97" s="220">
        <v>69956.45999999999</v>
      </c>
      <c r="K97" s="65"/>
      <c r="L97" s="65"/>
      <c r="M97" s="65"/>
      <c r="N97" s="65"/>
      <c r="O97" s="47">
        <f aca="true" t="shared" si="43" ref="O97:O104">I97</f>
        <v>46.6</v>
      </c>
      <c r="P97" s="47">
        <f aca="true" t="shared" si="44" ref="P97:P104">O97</f>
        <v>46.6</v>
      </c>
      <c r="Q97" s="219">
        <v>45.1</v>
      </c>
      <c r="R97" s="219"/>
      <c r="S97" s="219"/>
    </row>
    <row r="98" spans="1:19" s="39" customFormat="1" ht="15.75" customHeight="1">
      <c r="A98" s="218" t="s">
        <v>109</v>
      </c>
      <c r="B98" s="49">
        <f t="shared" si="42"/>
        <v>0</v>
      </c>
      <c r="C98" s="49">
        <v>0</v>
      </c>
      <c r="D98" s="49">
        <v>0</v>
      </c>
      <c r="E98" s="49">
        <v>0</v>
      </c>
      <c r="F98" s="49">
        <v>597</v>
      </c>
      <c r="G98" s="49">
        <v>2.5</v>
      </c>
      <c r="H98" s="49">
        <v>1.302</v>
      </c>
      <c r="I98" s="220">
        <f t="shared" si="41"/>
        <v>0</v>
      </c>
      <c r="J98" s="220">
        <v>0</v>
      </c>
      <c r="K98" s="65"/>
      <c r="L98" s="65"/>
      <c r="M98" s="65"/>
      <c r="N98" s="65"/>
      <c r="O98" s="47">
        <f t="shared" si="43"/>
        <v>0</v>
      </c>
      <c r="P98" s="47">
        <f t="shared" si="44"/>
        <v>0</v>
      </c>
      <c r="Q98" s="219">
        <f>J98/1000</f>
        <v>0</v>
      </c>
      <c r="R98" s="219"/>
      <c r="S98" s="219"/>
    </row>
    <row r="99" spans="1:19" s="39" customFormat="1" ht="15.75" customHeight="1">
      <c r="A99" s="218" t="s">
        <v>116</v>
      </c>
      <c r="B99" s="49">
        <f t="shared" si="42"/>
        <v>0</v>
      </c>
      <c r="C99" s="49">
        <v>0</v>
      </c>
      <c r="D99" s="49">
        <v>0</v>
      </c>
      <c r="E99" s="49">
        <v>0</v>
      </c>
      <c r="F99" s="49">
        <v>597</v>
      </c>
      <c r="G99" s="49">
        <v>2.7</v>
      </c>
      <c r="H99" s="49">
        <v>1.302</v>
      </c>
      <c r="I99" s="220">
        <f t="shared" si="41"/>
        <v>0</v>
      </c>
      <c r="J99" s="220">
        <v>0</v>
      </c>
      <c r="K99" s="65"/>
      <c r="L99" s="65"/>
      <c r="M99" s="65"/>
      <c r="N99" s="65"/>
      <c r="O99" s="47">
        <f t="shared" si="43"/>
        <v>0</v>
      </c>
      <c r="P99" s="47">
        <f t="shared" si="44"/>
        <v>0</v>
      </c>
      <c r="Q99" s="219">
        <f>J99/1000</f>
        <v>0</v>
      </c>
      <c r="R99" s="219"/>
      <c r="S99" s="219"/>
    </row>
    <row r="100" spans="1:19" s="39" customFormat="1" ht="15.75" customHeight="1">
      <c r="A100" s="218" t="s">
        <v>112</v>
      </c>
      <c r="B100" s="49">
        <f t="shared" si="42"/>
        <v>0</v>
      </c>
      <c r="C100" s="49">
        <v>0</v>
      </c>
      <c r="D100" s="49">
        <v>0</v>
      </c>
      <c r="E100" s="49">
        <v>0</v>
      </c>
      <c r="F100" s="49">
        <v>597</v>
      </c>
      <c r="G100" s="49">
        <v>2.5</v>
      </c>
      <c r="H100" s="49">
        <v>1.302</v>
      </c>
      <c r="I100" s="220">
        <f t="shared" si="41"/>
        <v>0</v>
      </c>
      <c r="J100" s="220">
        <v>0</v>
      </c>
      <c r="K100" s="65"/>
      <c r="L100" s="65"/>
      <c r="M100" s="65"/>
      <c r="N100" s="65"/>
      <c r="O100" s="47">
        <f t="shared" si="43"/>
        <v>0</v>
      </c>
      <c r="P100" s="47">
        <f t="shared" si="44"/>
        <v>0</v>
      </c>
      <c r="Q100" s="219">
        <f>J100/1000</f>
        <v>0</v>
      </c>
      <c r="R100" s="219"/>
      <c r="S100" s="219"/>
    </row>
    <row r="101" spans="1:19" s="39" customFormat="1" ht="15.75" customHeight="1">
      <c r="A101" s="218" t="s">
        <v>117</v>
      </c>
      <c r="B101" s="49">
        <f t="shared" si="42"/>
        <v>0</v>
      </c>
      <c r="C101" s="49">
        <v>0</v>
      </c>
      <c r="D101" s="49">
        <v>0</v>
      </c>
      <c r="E101" s="49">
        <v>0</v>
      </c>
      <c r="F101" s="49">
        <v>597</v>
      </c>
      <c r="G101" s="49">
        <v>2.5</v>
      </c>
      <c r="H101" s="49">
        <v>1.302</v>
      </c>
      <c r="I101" s="220">
        <f t="shared" si="41"/>
        <v>0</v>
      </c>
      <c r="J101" s="220">
        <v>46637.64</v>
      </c>
      <c r="K101" s="65"/>
      <c r="L101" s="65"/>
      <c r="M101" s="65"/>
      <c r="N101" s="65"/>
      <c r="O101" s="47">
        <f t="shared" si="43"/>
        <v>0</v>
      </c>
      <c r="P101" s="47">
        <f t="shared" si="44"/>
        <v>0</v>
      </c>
      <c r="Q101" s="219">
        <v>0</v>
      </c>
      <c r="R101" s="219"/>
      <c r="S101" s="219"/>
    </row>
    <row r="102" spans="1:19" s="39" customFormat="1" ht="15.75" customHeight="1">
      <c r="A102" s="218" t="s">
        <v>118</v>
      </c>
      <c r="B102" s="49">
        <f t="shared" si="42"/>
        <v>0</v>
      </c>
      <c r="C102" s="49">
        <v>0</v>
      </c>
      <c r="D102" s="49">
        <v>0</v>
      </c>
      <c r="E102" s="49">
        <v>0</v>
      </c>
      <c r="F102" s="49">
        <v>597</v>
      </c>
      <c r="G102" s="49">
        <v>2.5</v>
      </c>
      <c r="H102" s="49">
        <v>1.302</v>
      </c>
      <c r="I102" s="220">
        <f t="shared" si="41"/>
        <v>0</v>
      </c>
      <c r="J102" s="220">
        <v>23318.82</v>
      </c>
      <c r="K102" s="65"/>
      <c r="L102" s="65"/>
      <c r="M102" s="65"/>
      <c r="N102" s="65"/>
      <c r="O102" s="47">
        <f t="shared" si="43"/>
        <v>0</v>
      </c>
      <c r="P102" s="47">
        <f t="shared" si="44"/>
        <v>0</v>
      </c>
      <c r="Q102" s="219">
        <v>0</v>
      </c>
      <c r="R102" s="219"/>
      <c r="S102" s="219"/>
    </row>
    <row r="103" spans="1:19" s="39" customFormat="1" ht="15.75" customHeight="1">
      <c r="A103" s="218" t="s">
        <v>119</v>
      </c>
      <c r="B103" s="49">
        <f t="shared" si="42"/>
        <v>0</v>
      </c>
      <c r="C103" s="49">
        <v>0</v>
      </c>
      <c r="D103" s="49">
        <v>0</v>
      </c>
      <c r="E103" s="49">
        <v>0</v>
      </c>
      <c r="F103" s="49">
        <v>597</v>
      </c>
      <c r="G103" s="49">
        <v>2.5</v>
      </c>
      <c r="H103" s="49">
        <v>1.302</v>
      </c>
      <c r="I103" s="220">
        <f t="shared" si="41"/>
        <v>0</v>
      </c>
      <c r="J103" s="220">
        <v>0</v>
      </c>
      <c r="K103" s="65"/>
      <c r="L103" s="65"/>
      <c r="M103" s="65"/>
      <c r="N103" s="65"/>
      <c r="O103" s="47">
        <f t="shared" si="43"/>
        <v>0</v>
      </c>
      <c r="P103" s="47">
        <f t="shared" si="44"/>
        <v>0</v>
      </c>
      <c r="Q103" s="219">
        <v>0</v>
      </c>
      <c r="R103" s="219"/>
      <c r="S103" s="219"/>
    </row>
    <row r="104" spans="1:19" s="39" customFormat="1" ht="15.75" customHeight="1">
      <c r="A104" s="218" t="s">
        <v>120</v>
      </c>
      <c r="B104" s="49">
        <f t="shared" si="42"/>
        <v>0</v>
      </c>
      <c r="C104" s="49">
        <v>0</v>
      </c>
      <c r="D104" s="49">
        <v>0</v>
      </c>
      <c r="E104" s="49">
        <v>0</v>
      </c>
      <c r="F104" s="49">
        <v>597</v>
      </c>
      <c r="G104" s="49">
        <v>2.5</v>
      </c>
      <c r="H104" s="49">
        <v>1.302</v>
      </c>
      <c r="I104" s="220">
        <f t="shared" si="41"/>
        <v>0</v>
      </c>
      <c r="J104" s="220">
        <v>23318.82</v>
      </c>
      <c r="K104" s="65"/>
      <c r="L104" s="65"/>
      <c r="M104" s="65"/>
      <c r="N104" s="65"/>
      <c r="O104" s="47">
        <f t="shared" si="43"/>
        <v>0</v>
      </c>
      <c r="P104" s="47">
        <f t="shared" si="44"/>
        <v>0</v>
      </c>
      <c r="Q104" s="219">
        <v>0</v>
      </c>
      <c r="R104" s="219"/>
      <c r="S104" s="219"/>
    </row>
    <row r="105" spans="1:19" s="39" customFormat="1" ht="15.75" customHeight="1">
      <c r="A105" s="223" t="s">
        <v>256</v>
      </c>
      <c r="B105" s="49" t="s">
        <v>236</v>
      </c>
      <c r="C105" s="49"/>
      <c r="D105" s="49"/>
      <c r="E105" s="49"/>
      <c r="F105" s="49" t="s">
        <v>252</v>
      </c>
      <c r="G105" s="49" t="s">
        <v>246</v>
      </c>
      <c r="H105" s="49" t="s">
        <v>241</v>
      </c>
      <c r="I105" s="220"/>
      <c r="J105" s="220"/>
      <c r="K105" s="65"/>
      <c r="L105" s="65"/>
      <c r="M105" s="65"/>
      <c r="N105" s="65"/>
      <c r="O105" s="65"/>
      <c r="P105" s="65"/>
      <c r="Q105" s="220"/>
      <c r="R105" s="220"/>
      <c r="S105" s="220"/>
    </row>
    <row r="106" spans="1:19" s="39" customFormat="1" ht="118.5" customHeight="1">
      <c r="A106" s="218" t="s">
        <v>257</v>
      </c>
      <c r="B106" s="49">
        <f>SUM(B107:B115)</f>
        <v>94</v>
      </c>
      <c r="C106" s="49">
        <f>SUM(C107:C115)</f>
        <v>19</v>
      </c>
      <c r="D106" s="49">
        <f>SUM(D107:D115)</f>
        <v>11</v>
      </c>
      <c r="E106" s="49">
        <f>SUM(E107:E115)</f>
        <v>64</v>
      </c>
      <c r="F106" s="49"/>
      <c r="G106" s="49"/>
      <c r="H106" s="49"/>
      <c r="I106" s="220">
        <f aca="true" t="shared" si="45" ref="I106:P106">SUM(I107:I115)</f>
        <v>1097.8999999999999</v>
      </c>
      <c r="J106" s="220">
        <f t="shared" si="45"/>
        <v>1343078.0999999999</v>
      </c>
      <c r="K106" s="215">
        <f t="shared" si="45"/>
        <v>0</v>
      </c>
      <c r="L106" s="215">
        <f t="shared" si="45"/>
        <v>0</v>
      </c>
      <c r="M106" s="215">
        <f t="shared" si="45"/>
        <v>0</v>
      </c>
      <c r="N106" s="215">
        <f t="shared" si="45"/>
        <v>0</v>
      </c>
      <c r="O106" s="215">
        <f t="shared" si="45"/>
        <v>1097.8999999999999</v>
      </c>
      <c r="P106" s="215">
        <f t="shared" si="45"/>
        <v>1097.8999999999999</v>
      </c>
      <c r="Q106" s="219">
        <v>1062.3</v>
      </c>
      <c r="R106" s="219"/>
      <c r="S106" s="219"/>
    </row>
    <row r="107" spans="1:19" s="39" customFormat="1" ht="15.75" customHeight="1">
      <c r="A107" s="218" t="s">
        <v>14</v>
      </c>
      <c r="B107" s="49">
        <f>C107+D107+E107</f>
        <v>56</v>
      </c>
      <c r="C107" s="49">
        <v>11</v>
      </c>
      <c r="D107" s="49">
        <v>6</v>
      </c>
      <c r="E107" s="49">
        <v>39</v>
      </c>
      <c r="F107" s="49">
        <v>299</v>
      </c>
      <c r="G107" s="49">
        <v>2.5</v>
      </c>
      <c r="H107" s="49">
        <v>1.302</v>
      </c>
      <c r="I107" s="220">
        <f>ROUND(B107*F107*G107*H107*12/1000,1)</f>
        <v>654</v>
      </c>
      <c r="J107" s="220">
        <v>805846.86</v>
      </c>
      <c r="K107" s="65"/>
      <c r="L107" s="65"/>
      <c r="M107" s="65"/>
      <c r="N107" s="65"/>
      <c r="O107" s="47">
        <f>I107</f>
        <v>654</v>
      </c>
      <c r="P107" s="47">
        <f>O107</f>
        <v>654</v>
      </c>
      <c r="Q107" s="219">
        <v>632.9</v>
      </c>
      <c r="R107" s="219"/>
      <c r="S107" s="219"/>
    </row>
    <row r="108" spans="1:19" s="39" customFormat="1" ht="15.75" customHeight="1">
      <c r="A108" s="218" t="s">
        <v>113</v>
      </c>
      <c r="B108" s="49">
        <f aca="true" t="shared" si="46" ref="B108:B115">C108+D108+E108</f>
        <v>10</v>
      </c>
      <c r="C108" s="49">
        <v>4</v>
      </c>
      <c r="D108" s="49">
        <v>0</v>
      </c>
      <c r="E108" s="49">
        <v>6</v>
      </c>
      <c r="F108" s="49">
        <v>299</v>
      </c>
      <c r="G108" s="49">
        <v>2.5</v>
      </c>
      <c r="H108" s="49">
        <v>1.302</v>
      </c>
      <c r="I108" s="220">
        <f aca="true" t="shared" si="47" ref="I108:I115">ROUND(B108*F108*G108*H108*12/1000,1)</f>
        <v>116.8</v>
      </c>
      <c r="J108" s="220">
        <v>151826.22000000003</v>
      </c>
      <c r="K108" s="65"/>
      <c r="L108" s="65"/>
      <c r="M108" s="65"/>
      <c r="N108" s="65"/>
      <c r="O108" s="47">
        <f aca="true" t="shared" si="48" ref="O108:O115">I108</f>
        <v>116.8</v>
      </c>
      <c r="P108" s="47">
        <f aca="true" t="shared" si="49" ref="P108:P115">O108</f>
        <v>116.8</v>
      </c>
      <c r="Q108" s="219">
        <v>113</v>
      </c>
      <c r="R108" s="219"/>
      <c r="S108" s="219"/>
    </row>
    <row r="109" spans="1:19" s="39" customFormat="1" ht="15.75" customHeight="1">
      <c r="A109" s="218" t="s">
        <v>109</v>
      </c>
      <c r="B109" s="49">
        <f t="shared" si="46"/>
        <v>0</v>
      </c>
      <c r="C109" s="49">
        <v>0</v>
      </c>
      <c r="D109" s="49">
        <v>0</v>
      </c>
      <c r="E109" s="49">
        <v>0</v>
      </c>
      <c r="F109" s="49">
        <v>299</v>
      </c>
      <c r="G109" s="49">
        <v>2.5</v>
      </c>
      <c r="H109" s="49">
        <v>1.302</v>
      </c>
      <c r="I109" s="220">
        <f t="shared" si="47"/>
        <v>0</v>
      </c>
      <c r="J109" s="220">
        <v>0</v>
      </c>
      <c r="K109" s="65"/>
      <c r="L109" s="65"/>
      <c r="M109" s="65"/>
      <c r="N109" s="65"/>
      <c r="O109" s="47">
        <f t="shared" si="48"/>
        <v>0</v>
      </c>
      <c r="P109" s="47">
        <f t="shared" si="49"/>
        <v>0</v>
      </c>
      <c r="Q109" s="219">
        <v>0</v>
      </c>
      <c r="R109" s="219"/>
      <c r="S109" s="219"/>
    </row>
    <row r="110" spans="1:19" s="39" customFormat="1" ht="15.75" customHeight="1">
      <c r="A110" s="218" t="s">
        <v>116</v>
      </c>
      <c r="B110" s="49">
        <f t="shared" si="46"/>
        <v>0</v>
      </c>
      <c r="C110" s="49">
        <v>0</v>
      </c>
      <c r="D110" s="49">
        <v>0</v>
      </c>
      <c r="E110" s="49">
        <v>0</v>
      </c>
      <c r="F110" s="49">
        <v>299</v>
      </c>
      <c r="G110" s="49">
        <v>2.7</v>
      </c>
      <c r="H110" s="49">
        <v>1.302</v>
      </c>
      <c r="I110" s="220">
        <f t="shared" si="47"/>
        <v>0</v>
      </c>
      <c r="J110" s="220">
        <v>0</v>
      </c>
      <c r="K110" s="65"/>
      <c r="L110" s="65"/>
      <c r="M110" s="65"/>
      <c r="N110" s="65"/>
      <c r="O110" s="47">
        <f t="shared" si="48"/>
        <v>0</v>
      </c>
      <c r="P110" s="47">
        <f t="shared" si="49"/>
        <v>0</v>
      </c>
      <c r="Q110" s="219">
        <f>J110/1000</f>
        <v>0</v>
      </c>
      <c r="R110" s="219"/>
      <c r="S110" s="219"/>
    </row>
    <row r="111" spans="1:19" s="39" customFormat="1" ht="15.75" customHeight="1">
      <c r="A111" s="218" t="s">
        <v>112</v>
      </c>
      <c r="B111" s="49">
        <f t="shared" si="46"/>
        <v>0</v>
      </c>
      <c r="C111" s="49">
        <v>0</v>
      </c>
      <c r="D111" s="49">
        <v>0</v>
      </c>
      <c r="E111" s="49">
        <v>0</v>
      </c>
      <c r="F111" s="49">
        <v>299</v>
      </c>
      <c r="G111" s="49">
        <v>2.5</v>
      </c>
      <c r="H111" s="49">
        <v>1.302</v>
      </c>
      <c r="I111" s="220">
        <f t="shared" si="47"/>
        <v>0</v>
      </c>
      <c r="J111" s="220">
        <v>0</v>
      </c>
      <c r="K111" s="65"/>
      <c r="L111" s="65"/>
      <c r="M111" s="65"/>
      <c r="N111" s="65"/>
      <c r="O111" s="47">
        <f t="shared" si="48"/>
        <v>0</v>
      </c>
      <c r="P111" s="47">
        <f t="shared" si="49"/>
        <v>0</v>
      </c>
      <c r="Q111" s="219">
        <f>J111/1000</f>
        <v>0</v>
      </c>
      <c r="R111" s="219"/>
      <c r="S111" s="219"/>
    </row>
    <row r="112" spans="1:19" s="39" customFormat="1" ht="15.75" customHeight="1">
      <c r="A112" s="218" t="s">
        <v>117</v>
      </c>
      <c r="B112" s="49">
        <f t="shared" si="46"/>
        <v>8</v>
      </c>
      <c r="C112" s="49">
        <v>1</v>
      </c>
      <c r="D112" s="49">
        <v>3</v>
      </c>
      <c r="E112" s="49">
        <v>4</v>
      </c>
      <c r="F112" s="49">
        <v>299</v>
      </c>
      <c r="G112" s="49">
        <v>2.5</v>
      </c>
      <c r="H112" s="49">
        <v>1.302</v>
      </c>
      <c r="I112" s="220">
        <f t="shared" si="47"/>
        <v>93.4</v>
      </c>
      <c r="J112" s="220">
        <v>116789.40000000001</v>
      </c>
      <c r="K112" s="65"/>
      <c r="L112" s="65"/>
      <c r="M112" s="65"/>
      <c r="N112" s="65"/>
      <c r="O112" s="47">
        <f t="shared" si="48"/>
        <v>93.4</v>
      </c>
      <c r="P112" s="47">
        <f t="shared" si="49"/>
        <v>93.4</v>
      </c>
      <c r="Q112" s="219">
        <v>90.4</v>
      </c>
      <c r="R112" s="219"/>
      <c r="S112" s="219"/>
    </row>
    <row r="113" spans="1:19" s="39" customFormat="1" ht="15.75" customHeight="1">
      <c r="A113" s="218" t="s">
        <v>118</v>
      </c>
      <c r="B113" s="49">
        <f t="shared" si="46"/>
        <v>6</v>
      </c>
      <c r="C113" s="49">
        <v>2</v>
      </c>
      <c r="D113" s="49">
        <v>0</v>
      </c>
      <c r="E113" s="49">
        <v>4</v>
      </c>
      <c r="F113" s="49">
        <v>299</v>
      </c>
      <c r="G113" s="49">
        <v>2.5</v>
      </c>
      <c r="H113" s="49">
        <v>1.302</v>
      </c>
      <c r="I113" s="220">
        <f t="shared" si="47"/>
        <v>70.1</v>
      </c>
      <c r="J113" s="220">
        <v>70073.64</v>
      </c>
      <c r="K113" s="65"/>
      <c r="L113" s="65"/>
      <c r="M113" s="65"/>
      <c r="N113" s="65"/>
      <c r="O113" s="47">
        <f t="shared" si="48"/>
        <v>70.1</v>
      </c>
      <c r="P113" s="47">
        <f t="shared" si="49"/>
        <v>70.1</v>
      </c>
      <c r="Q113" s="219">
        <v>67.8</v>
      </c>
      <c r="R113" s="219"/>
      <c r="S113" s="219"/>
    </row>
    <row r="114" spans="1:19" s="39" customFormat="1" ht="15.75" customHeight="1">
      <c r="A114" s="218" t="s">
        <v>119</v>
      </c>
      <c r="B114" s="49">
        <f t="shared" si="46"/>
        <v>7</v>
      </c>
      <c r="C114" s="49">
        <v>1</v>
      </c>
      <c r="D114" s="49">
        <v>2</v>
      </c>
      <c r="E114" s="49">
        <v>4</v>
      </c>
      <c r="F114" s="49">
        <v>299</v>
      </c>
      <c r="G114" s="49">
        <v>2.5</v>
      </c>
      <c r="H114" s="49">
        <v>1.302</v>
      </c>
      <c r="I114" s="220">
        <f t="shared" si="47"/>
        <v>81.8</v>
      </c>
      <c r="J114" s="220">
        <v>93431.52</v>
      </c>
      <c r="K114" s="65"/>
      <c r="L114" s="65"/>
      <c r="M114" s="65"/>
      <c r="N114" s="65"/>
      <c r="O114" s="47">
        <f t="shared" si="48"/>
        <v>81.8</v>
      </c>
      <c r="P114" s="47">
        <f t="shared" si="49"/>
        <v>81.8</v>
      </c>
      <c r="Q114" s="219">
        <v>79.1</v>
      </c>
      <c r="R114" s="219"/>
      <c r="S114" s="219"/>
    </row>
    <row r="115" spans="1:19" s="39" customFormat="1" ht="15.75" customHeight="1">
      <c r="A115" s="218" t="s">
        <v>120</v>
      </c>
      <c r="B115" s="49">
        <f t="shared" si="46"/>
        <v>7</v>
      </c>
      <c r="C115" s="49">
        <v>0</v>
      </c>
      <c r="D115" s="49">
        <v>0</v>
      </c>
      <c r="E115" s="49">
        <v>7</v>
      </c>
      <c r="F115" s="49">
        <v>299</v>
      </c>
      <c r="G115" s="49">
        <v>2.5</v>
      </c>
      <c r="H115" s="49">
        <v>1.302</v>
      </c>
      <c r="I115" s="220">
        <f t="shared" si="47"/>
        <v>81.8</v>
      </c>
      <c r="J115" s="220">
        <v>105110.45999999999</v>
      </c>
      <c r="K115" s="65"/>
      <c r="L115" s="65"/>
      <c r="M115" s="65"/>
      <c r="N115" s="65"/>
      <c r="O115" s="47">
        <f t="shared" si="48"/>
        <v>81.8</v>
      </c>
      <c r="P115" s="47">
        <f t="shared" si="49"/>
        <v>81.8</v>
      </c>
      <c r="Q115" s="219">
        <v>79.1</v>
      </c>
      <c r="R115" s="219"/>
      <c r="S115" s="219"/>
    </row>
    <row r="116" spans="1:19" s="39" customFormat="1" ht="33" customHeight="1">
      <c r="A116" s="214" t="s">
        <v>258</v>
      </c>
      <c r="B116" s="49" t="s">
        <v>259</v>
      </c>
      <c r="C116" s="49"/>
      <c r="D116" s="49"/>
      <c r="E116" s="49"/>
      <c r="F116" s="49" t="s">
        <v>260</v>
      </c>
      <c r="G116" s="49" t="s">
        <v>246</v>
      </c>
      <c r="H116" s="49" t="s">
        <v>241</v>
      </c>
      <c r="I116" s="220"/>
      <c r="J116" s="220"/>
      <c r="K116" s="65"/>
      <c r="L116" s="65"/>
      <c r="M116" s="65"/>
      <c r="N116" s="65"/>
      <c r="O116" s="65"/>
      <c r="P116" s="65"/>
      <c r="Q116" s="220"/>
      <c r="R116" s="220"/>
      <c r="S116" s="220"/>
    </row>
    <row r="117" spans="1:19" s="39" customFormat="1" ht="78" customHeight="1">
      <c r="A117" s="218" t="s">
        <v>261</v>
      </c>
      <c r="B117" s="49"/>
      <c r="C117" s="49"/>
      <c r="D117" s="49"/>
      <c r="E117" s="49"/>
      <c r="F117" s="49"/>
      <c r="G117" s="49"/>
      <c r="H117" s="49"/>
      <c r="I117" s="220">
        <f>I118+I128</f>
        <v>839.5999999999999</v>
      </c>
      <c r="J117" s="220">
        <f aca="true" t="shared" si="50" ref="J117:P117">J118+J128</f>
        <v>863715.0312000001</v>
      </c>
      <c r="K117" s="217">
        <f t="shared" si="50"/>
        <v>0</v>
      </c>
      <c r="L117" s="217">
        <f t="shared" si="50"/>
        <v>0</v>
      </c>
      <c r="M117" s="217">
        <f t="shared" si="50"/>
        <v>0</v>
      </c>
      <c r="N117" s="217">
        <f t="shared" si="50"/>
        <v>0</v>
      </c>
      <c r="O117" s="217">
        <f t="shared" si="50"/>
        <v>839.5999999999999</v>
      </c>
      <c r="P117" s="217">
        <f t="shared" si="50"/>
        <v>839.5999999999999</v>
      </c>
      <c r="Q117" s="219">
        <v>835.7</v>
      </c>
      <c r="R117" s="219"/>
      <c r="S117" s="219"/>
    </row>
    <row r="118" spans="1:19" s="39" customFormat="1" ht="15.75" customHeight="1">
      <c r="A118" s="218" t="s">
        <v>262</v>
      </c>
      <c r="B118" s="49">
        <f>SUM(B119:B127)</f>
        <v>21</v>
      </c>
      <c r="C118" s="49">
        <f>SUM(C119:C127)</f>
        <v>0</v>
      </c>
      <c r="D118" s="49">
        <f>SUM(D119:D127)</f>
        <v>1</v>
      </c>
      <c r="E118" s="49">
        <f>SUM(E119:E127)</f>
        <v>20</v>
      </c>
      <c r="F118" s="49"/>
      <c r="G118" s="49"/>
      <c r="H118" s="49"/>
      <c r="I118" s="220">
        <f>SUM(I119:I127)</f>
        <v>594.9999999999999</v>
      </c>
      <c r="J118" s="220">
        <f aca="true" t="shared" si="51" ref="J118:P118">SUM(J119:J127)</f>
        <v>615068.4456000001</v>
      </c>
      <c r="K118" s="217">
        <f t="shared" si="51"/>
        <v>0</v>
      </c>
      <c r="L118" s="217">
        <f t="shared" si="51"/>
        <v>0</v>
      </c>
      <c r="M118" s="217">
        <f t="shared" si="51"/>
        <v>0</v>
      </c>
      <c r="N118" s="217">
        <f t="shared" si="51"/>
        <v>0</v>
      </c>
      <c r="O118" s="217">
        <f t="shared" si="51"/>
        <v>594.9999999999999</v>
      </c>
      <c r="P118" s="217">
        <f t="shared" si="51"/>
        <v>594.9999999999999</v>
      </c>
      <c r="Q118" s="219">
        <v>595</v>
      </c>
      <c r="R118" s="219"/>
      <c r="S118" s="219"/>
    </row>
    <row r="119" spans="1:19" s="39" customFormat="1" ht="15.75" customHeight="1">
      <c r="A119" s="218" t="s">
        <v>14</v>
      </c>
      <c r="B119" s="49">
        <f>C119+D119+E119</f>
        <v>1</v>
      </c>
      <c r="C119" s="49">
        <v>0</v>
      </c>
      <c r="D119" s="49">
        <v>0</v>
      </c>
      <c r="E119" s="49">
        <v>1</v>
      </c>
      <c r="F119" s="49">
        <v>747</v>
      </c>
      <c r="G119" s="49">
        <v>2.5</v>
      </c>
      <c r="H119" s="49">
        <v>1.26</v>
      </c>
      <c r="I119" s="220">
        <f>ROUND(B119*F119*G119*H119*12/1000,1)</f>
        <v>28.2</v>
      </c>
      <c r="J119" s="220">
        <v>29177.82</v>
      </c>
      <c r="K119" s="65"/>
      <c r="L119" s="65"/>
      <c r="M119" s="65"/>
      <c r="N119" s="65"/>
      <c r="O119" s="47">
        <f>I119</f>
        <v>28.2</v>
      </c>
      <c r="P119" s="47">
        <f>O119</f>
        <v>28.2</v>
      </c>
      <c r="Q119" s="219">
        <v>28.2</v>
      </c>
      <c r="R119" s="219"/>
      <c r="S119" s="219"/>
    </row>
    <row r="120" spans="1:19" s="39" customFormat="1" ht="15.75" customHeight="1">
      <c r="A120" s="218" t="s">
        <v>113</v>
      </c>
      <c r="B120" s="49">
        <f aca="true" t="shared" si="52" ref="B120:B127">C120+D120+E120</f>
        <v>4</v>
      </c>
      <c r="C120" s="49">
        <v>0</v>
      </c>
      <c r="D120" s="49">
        <v>0</v>
      </c>
      <c r="E120" s="49">
        <v>4</v>
      </c>
      <c r="F120" s="49">
        <v>747</v>
      </c>
      <c r="G120" s="49">
        <v>2.5</v>
      </c>
      <c r="H120" s="49">
        <v>1.26</v>
      </c>
      <c r="I120" s="220">
        <f aca="true" t="shared" si="53" ref="I120:I127">ROUND(B120*F120*G120*H120*12/1000,1)</f>
        <v>112.9</v>
      </c>
      <c r="J120" s="220">
        <v>116711.28</v>
      </c>
      <c r="K120" s="65"/>
      <c r="L120" s="65"/>
      <c r="M120" s="65"/>
      <c r="N120" s="65"/>
      <c r="O120" s="47">
        <f aca="true" t="shared" si="54" ref="O120:O127">I120</f>
        <v>112.9</v>
      </c>
      <c r="P120" s="47">
        <f aca="true" t="shared" si="55" ref="P120:P127">O120</f>
        <v>112.9</v>
      </c>
      <c r="Q120" s="219">
        <v>112.9</v>
      </c>
      <c r="R120" s="219"/>
      <c r="S120" s="219"/>
    </row>
    <row r="121" spans="1:19" s="39" customFormat="1" ht="15.75" customHeight="1">
      <c r="A121" s="218" t="s">
        <v>109</v>
      </c>
      <c r="B121" s="49">
        <f t="shared" si="52"/>
        <v>1</v>
      </c>
      <c r="C121" s="49">
        <v>0</v>
      </c>
      <c r="D121" s="49">
        <v>0</v>
      </c>
      <c r="E121" s="49">
        <v>1</v>
      </c>
      <c r="F121" s="49">
        <v>747</v>
      </c>
      <c r="G121" s="49">
        <v>2.5</v>
      </c>
      <c r="H121" s="49">
        <v>1.26</v>
      </c>
      <c r="I121" s="220">
        <f t="shared" si="53"/>
        <v>28.2</v>
      </c>
      <c r="J121" s="220">
        <v>29177.82</v>
      </c>
      <c r="K121" s="65"/>
      <c r="L121" s="65"/>
      <c r="M121" s="65"/>
      <c r="N121" s="65"/>
      <c r="O121" s="47">
        <f t="shared" si="54"/>
        <v>28.2</v>
      </c>
      <c r="P121" s="47">
        <f t="shared" si="55"/>
        <v>28.2</v>
      </c>
      <c r="Q121" s="219">
        <v>28.2</v>
      </c>
      <c r="R121" s="219"/>
      <c r="S121" s="219"/>
    </row>
    <row r="122" spans="1:19" s="39" customFormat="1" ht="15.75" customHeight="1">
      <c r="A122" s="218" t="s">
        <v>116</v>
      </c>
      <c r="B122" s="49">
        <f t="shared" si="52"/>
        <v>1</v>
      </c>
      <c r="C122" s="49">
        <v>0</v>
      </c>
      <c r="D122" s="49">
        <v>0</v>
      </c>
      <c r="E122" s="49">
        <v>1</v>
      </c>
      <c r="F122" s="49">
        <v>747</v>
      </c>
      <c r="G122" s="49">
        <v>2.7</v>
      </c>
      <c r="H122" s="49">
        <v>1.26</v>
      </c>
      <c r="I122" s="220">
        <f t="shared" si="53"/>
        <v>30.5</v>
      </c>
      <c r="J122" s="220">
        <v>31512.045600000005</v>
      </c>
      <c r="K122" s="65"/>
      <c r="L122" s="65"/>
      <c r="M122" s="65"/>
      <c r="N122" s="65"/>
      <c r="O122" s="47">
        <f t="shared" si="54"/>
        <v>30.5</v>
      </c>
      <c r="P122" s="47">
        <f t="shared" si="55"/>
        <v>30.5</v>
      </c>
      <c r="Q122" s="219">
        <v>30.5</v>
      </c>
      <c r="R122" s="219"/>
      <c r="S122" s="219"/>
    </row>
    <row r="123" spans="1:19" s="39" customFormat="1" ht="15.75" customHeight="1">
      <c r="A123" s="218" t="s">
        <v>112</v>
      </c>
      <c r="B123" s="49">
        <f t="shared" si="52"/>
        <v>2</v>
      </c>
      <c r="C123" s="49">
        <v>0</v>
      </c>
      <c r="D123" s="49">
        <v>0</v>
      </c>
      <c r="E123" s="49">
        <v>2</v>
      </c>
      <c r="F123" s="49">
        <v>747</v>
      </c>
      <c r="G123" s="49">
        <v>2.5</v>
      </c>
      <c r="H123" s="49">
        <v>1.26</v>
      </c>
      <c r="I123" s="220">
        <f t="shared" si="53"/>
        <v>56.5</v>
      </c>
      <c r="J123" s="220">
        <v>58355.64</v>
      </c>
      <c r="K123" s="65"/>
      <c r="L123" s="65"/>
      <c r="M123" s="65"/>
      <c r="N123" s="65"/>
      <c r="O123" s="47">
        <f t="shared" si="54"/>
        <v>56.5</v>
      </c>
      <c r="P123" s="47">
        <f t="shared" si="55"/>
        <v>56.5</v>
      </c>
      <c r="Q123" s="219">
        <v>56.5</v>
      </c>
      <c r="R123" s="219"/>
      <c r="S123" s="219"/>
    </row>
    <row r="124" spans="1:19" s="39" customFormat="1" ht="15.75" customHeight="1">
      <c r="A124" s="218" t="s">
        <v>117</v>
      </c>
      <c r="B124" s="49">
        <f t="shared" si="52"/>
        <v>4</v>
      </c>
      <c r="C124" s="49">
        <v>0</v>
      </c>
      <c r="D124" s="49">
        <v>1</v>
      </c>
      <c r="E124" s="49">
        <v>3</v>
      </c>
      <c r="F124" s="49">
        <v>747</v>
      </c>
      <c r="G124" s="49">
        <v>2.5</v>
      </c>
      <c r="H124" s="49">
        <v>1.26</v>
      </c>
      <c r="I124" s="220">
        <f t="shared" si="53"/>
        <v>112.9</v>
      </c>
      <c r="J124" s="220">
        <v>116711.28</v>
      </c>
      <c r="K124" s="65"/>
      <c r="L124" s="65"/>
      <c r="M124" s="65"/>
      <c r="N124" s="65"/>
      <c r="O124" s="47">
        <f t="shared" si="54"/>
        <v>112.9</v>
      </c>
      <c r="P124" s="47">
        <f t="shared" si="55"/>
        <v>112.9</v>
      </c>
      <c r="Q124" s="219">
        <v>112.9</v>
      </c>
      <c r="R124" s="219"/>
      <c r="S124" s="219"/>
    </row>
    <row r="125" spans="1:19" s="39" customFormat="1" ht="15.75" customHeight="1">
      <c r="A125" s="218" t="s">
        <v>118</v>
      </c>
      <c r="B125" s="49">
        <f t="shared" si="52"/>
        <v>1</v>
      </c>
      <c r="C125" s="49">
        <v>0</v>
      </c>
      <c r="D125" s="49">
        <v>0</v>
      </c>
      <c r="E125" s="49">
        <v>1</v>
      </c>
      <c r="F125" s="49">
        <v>747</v>
      </c>
      <c r="G125" s="49">
        <v>2.5</v>
      </c>
      <c r="H125" s="49">
        <v>1.26</v>
      </c>
      <c r="I125" s="220">
        <f t="shared" si="53"/>
        <v>28.2</v>
      </c>
      <c r="J125" s="220">
        <v>29177.82</v>
      </c>
      <c r="K125" s="65"/>
      <c r="L125" s="65"/>
      <c r="M125" s="65"/>
      <c r="N125" s="65"/>
      <c r="O125" s="47">
        <f t="shared" si="54"/>
        <v>28.2</v>
      </c>
      <c r="P125" s="47">
        <f t="shared" si="55"/>
        <v>28.2</v>
      </c>
      <c r="Q125" s="219">
        <v>28.2</v>
      </c>
      <c r="R125" s="219"/>
      <c r="S125" s="219"/>
    </row>
    <row r="126" spans="1:19" s="39" customFormat="1" ht="15.75" customHeight="1">
      <c r="A126" s="218" t="s">
        <v>119</v>
      </c>
      <c r="B126" s="49">
        <f t="shared" si="52"/>
        <v>3</v>
      </c>
      <c r="C126" s="49">
        <v>0</v>
      </c>
      <c r="D126" s="49">
        <v>0</v>
      </c>
      <c r="E126" s="49">
        <v>3</v>
      </c>
      <c r="F126" s="49">
        <v>747</v>
      </c>
      <c r="G126" s="49">
        <v>2.5</v>
      </c>
      <c r="H126" s="49">
        <v>1.26</v>
      </c>
      <c r="I126" s="220">
        <f t="shared" si="53"/>
        <v>84.7</v>
      </c>
      <c r="J126" s="220">
        <v>87533.45999999999</v>
      </c>
      <c r="K126" s="65"/>
      <c r="L126" s="65"/>
      <c r="M126" s="65"/>
      <c r="N126" s="65"/>
      <c r="O126" s="47">
        <f t="shared" si="54"/>
        <v>84.7</v>
      </c>
      <c r="P126" s="47">
        <f t="shared" si="55"/>
        <v>84.7</v>
      </c>
      <c r="Q126" s="219">
        <v>84.7</v>
      </c>
      <c r="R126" s="219"/>
      <c r="S126" s="219"/>
    </row>
    <row r="127" spans="1:19" s="39" customFormat="1" ht="15.75" customHeight="1">
      <c r="A127" s="218" t="s">
        <v>120</v>
      </c>
      <c r="B127" s="49">
        <f t="shared" si="52"/>
        <v>4</v>
      </c>
      <c r="C127" s="49">
        <v>0</v>
      </c>
      <c r="D127" s="49">
        <v>0</v>
      </c>
      <c r="E127" s="49">
        <v>4</v>
      </c>
      <c r="F127" s="49">
        <v>747</v>
      </c>
      <c r="G127" s="49">
        <v>2.5</v>
      </c>
      <c r="H127" s="49">
        <v>1.26</v>
      </c>
      <c r="I127" s="220">
        <f t="shared" si="53"/>
        <v>112.9</v>
      </c>
      <c r="J127" s="220">
        <v>116711.28</v>
      </c>
      <c r="K127" s="65"/>
      <c r="L127" s="65"/>
      <c r="M127" s="65"/>
      <c r="N127" s="65"/>
      <c r="O127" s="47">
        <f t="shared" si="54"/>
        <v>112.9</v>
      </c>
      <c r="P127" s="47">
        <f t="shared" si="55"/>
        <v>112.9</v>
      </c>
      <c r="Q127" s="219">
        <v>112.9</v>
      </c>
      <c r="R127" s="219"/>
      <c r="S127" s="219"/>
    </row>
    <row r="128" spans="1:19" s="39" customFormat="1" ht="15.75" customHeight="1">
      <c r="A128" s="218" t="s">
        <v>263</v>
      </c>
      <c r="B128" s="49">
        <f>SUM(B129:B137)</f>
        <v>6</v>
      </c>
      <c r="C128" s="49">
        <f>SUM(C129:C137)</f>
        <v>0</v>
      </c>
      <c r="D128" s="49">
        <f>SUM(D129:D137)</f>
        <v>0</v>
      </c>
      <c r="E128" s="49">
        <f>SUM(E129:E137)</f>
        <v>6</v>
      </c>
      <c r="F128" s="49"/>
      <c r="G128" s="49"/>
      <c r="H128" s="49"/>
      <c r="I128" s="220">
        <f aca="true" t="shared" si="56" ref="I128:P128">SUM(I129:I137)</f>
        <v>244.60000000000002</v>
      </c>
      <c r="J128" s="220">
        <f t="shared" si="56"/>
        <v>248646.5856</v>
      </c>
      <c r="K128" s="217">
        <f t="shared" si="56"/>
        <v>0</v>
      </c>
      <c r="L128" s="217">
        <f t="shared" si="56"/>
        <v>0</v>
      </c>
      <c r="M128" s="217">
        <f t="shared" si="56"/>
        <v>0</v>
      </c>
      <c r="N128" s="217">
        <f t="shared" si="56"/>
        <v>0</v>
      </c>
      <c r="O128" s="217">
        <f t="shared" si="56"/>
        <v>244.60000000000002</v>
      </c>
      <c r="P128" s="217">
        <f t="shared" si="56"/>
        <v>244.60000000000002</v>
      </c>
      <c r="Q128" s="219">
        <v>240.7</v>
      </c>
      <c r="R128" s="219"/>
      <c r="S128" s="219"/>
    </row>
    <row r="129" spans="1:19" s="39" customFormat="1" ht="15.75" customHeight="1">
      <c r="A129" s="218" t="s">
        <v>14</v>
      </c>
      <c r="B129" s="49">
        <f>C129+D129+E129</f>
        <v>0</v>
      </c>
      <c r="C129" s="49">
        <v>0</v>
      </c>
      <c r="D129" s="49">
        <v>0</v>
      </c>
      <c r="E129" s="49">
        <v>0</v>
      </c>
      <c r="F129" s="49">
        <v>1047</v>
      </c>
      <c r="G129" s="49">
        <v>2.5</v>
      </c>
      <c r="H129" s="49">
        <v>1.26</v>
      </c>
      <c r="I129" s="220">
        <f>ROUND(B129*F129*G129*H129*12/1000,1)</f>
        <v>0</v>
      </c>
      <c r="J129" s="220">
        <v>0</v>
      </c>
      <c r="K129" s="65"/>
      <c r="L129" s="65"/>
      <c r="M129" s="65"/>
      <c r="N129" s="65"/>
      <c r="O129" s="47">
        <f>I129</f>
        <v>0</v>
      </c>
      <c r="P129" s="47">
        <f>O129</f>
        <v>0</v>
      </c>
      <c r="Q129" s="219">
        <f>J129/1000</f>
        <v>0</v>
      </c>
      <c r="R129" s="219"/>
      <c r="S129" s="219"/>
    </row>
    <row r="130" spans="1:19" s="39" customFormat="1" ht="15.75" customHeight="1">
      <c r="A130" s="218" t="s">
        <v>113</v>
      </c>
      <c r="B130" s="49">
        <f aca="true" t="shared" si="57" ref="B130:B137">C130+D130+E130</f>
        <v>1</v>
      </c>
      <c r="C130" s="49">
        <v>0</v>
      </c>
      <c r="D130" s="49">
        <v>0</v>
      </c>
      <c r="E130" s="49">
        <v>1</v>
      </c>
      <c r="F130" s="49">
        <v>1047</v>
      </c>
      <c r="G130" s="49">
        <v>2.5</v>
      </c>
      <c r="H130" s="49">
        <v>1.26</v>
      </c>
      <c r="I130" s="220">
        <f aca="true" t="shared" si="58" ref="I130:I137">ROUND(B130*F130*G130*H130*12/1000,1)</f>
        <v>39.6</v>
      </c>
      <c r="J130" s="220">
        <v>40895.82</v>
      </c>
      <c r="K130" s="65"/>
      <c r="L130" s="65"/>
      <c r="M130" s="65"/>
      <c r="N130" s="65"/>
      <c r="O130" s="47">
        <f aca="true" t="shared" si="59" ref="O130:O137">I130</f>
        <v>39.6</v>
      </c>
      <c r="P130" s="47">
        <f aca="true" t="shared" si="60" ref="P130:P137">O130</f>
        <v>39.6</v>
      </c>
      <c r="Q130" s="219">
        <v>39.6</v>
      </c>
      <c r="R130" s="219"/>
      <c r="S130" s="219"/>
    </row>
    <row r="131" spans="1:19" s="39" customFormat="1" ht="15.75" customHeight="1">
      <c r="A131" s="218" t="s">
        <v>109</v>
      </c>
      <c r="B131" s="49">
        <f t="shared" si="57"/>
        <v>1</v>
      </c>
      <c r="C131" s="49">
        <v>0</v>
      </c>
      <c r="D131" s="49">
        <v>0</v>
      </c>
      <c r="E131" s="49">
        <v>1</v>
      </c>
      <c r="F131" s="49">
        <v>1047</v>
      </c>
      <c r="G131" s="49">
        <v>2.5</v>
      </c>
      <c r="H131" s="49">
        <v>1.26</v>
      </c>
      <c r="I131" s="220">
        <f t="shared" si="58"/>
        <v>39.6</v>
      </c>
      <c r="J131" s="220">
        <v>40895.82</v>
      </c>
      <c r="K131" s="65"/>
      <c r="L131" s="65"/>
      <c r="M131" s="65"/>
      <c r="N131" s="65"/>
      <c r="O131" s="47">
        <f t="shared" si="59"/>
        <v>39.6</v>
      </c>
      <c r="P131" s="47">
        <f t="shared" si="60"/>
        <v>39.6</v>
      </c>
      <c r="Q131" s="219">
        <v>39.6</v>
      </c>
      <c r="R131" s="219"/>
      <c r="S131" s="219"/>
    </row>
    <row r="132" spans="1:19" s="39" customFormat="1" ht="15.75" customHeight="1">
      <c r="A132" s="218" t="s">
        <v>116</v>
      </c>
      <c r="B132" s="49">
        <f t="shared" si="57"/>
        <v>1</v>
      </c>
      <c r="C132" s="49">
        <v>0</v>
      </c>
      <c r="D132" s="49">
        <v>0</v>
      </c>
      <c r="E132" s="49">
        <v>1</v>
      </c>
      <c r="F132" s="49">
        <v>1047</v>
      </c>
      <c r="G132" s="49">
        <v>2.7</v>
      </c>
      <c r="H132" s="49">
        <v>1.26</v>
      </c>
      <c r="I132" s="220">
        <f t="shared" si="58"/>
        <v>42.7</v>
      </c>
      <c r="J132" s="220">
        <v>44167.4856</v>
      </c>
      <c r="K132" s="65"/>
      <c r="L132" s="65"/>
      <c r="M132" s="65"/>
      <c r="N132" s="65"/>
      <c r="O132" s="47">
        <f t="shared" si="59"/>
        <v>42.7</v>
      </c>
      <c r="P132" s="47">
        <f t="shared" si="60"/>
        <v>42.7</v>
      </c>
      <c r="Q132" s="219">
        <v>42.7</v>
      </c>
      <c r="R132" s="219"/>
      <c r="S132" s="219"/>
    </row>
    <row r="133" spans="1:19" s="39" customFormat="1" ht="15.75" customHeight="1">
      <c r="A133" s="218" t="s">
        <v>112</v>
      </c>
      <c r="B133" s="49">
        <f t="shared" si="57"/>
        <v>0</v>
      </c>
      <c r="C133" s="49">
        <v>0</v>
      </c>
      <c r="D133" s="49">
        <v>0</v>
      </c>
      <c r="E133" s="49">
        <v>0</v>
      </c>
      <c r="F133" s="49">
        <v>1047</v>
      </c>
      <c r="G133" s="49">
        <v>2.5</v>
      </c>
      <c r="H133" s="49">
        <v>1.26</v>
      </c>
      <c r="I133" s="220">
        <f t="shared" si="58"/>
        <v>0</v>
      </c>
      <c r="J133" s="220">
        <v>0</v>
      </c>
      <c r="K133" s="65"/>
      <c r="L133" s="65"/>
      <c r="M133" s="65"/>
      <c r="N133" s="65"/>
      <c r="O133" s="47">
        <f t="shared" si="59"/>
        <v>0</v>
      </c>
      <c r="P133" s="47">
        <f t="shared" si="60"/>
        <v>0</v>
      </c>
      <c r="Q133" s="219">
        <v>0</v>
      </c>
      <c r="R133" s="219"/>
      <c r="S133" s="219"/>
    </row>
    <row r="134" spans="1:19" s="39" customFormat="1" ht="15.75" customHeight="1">
      <c r="A134" s="218" t="s">
        <v>117</v>
      </c>
      <c r="B134" s="49">
        <f t="shared" si="57"/>
        <v>0</v>
      </c>
      <c r="C134" s="49">
        <v>0</v>
      </c>
      <c r="D134" s="49">
        <v>0</v>
      </c>
      <c r="E134" s="49">
        <v>0</v>
      </c>
      <c r="F134" s="49">
        <v>1047</v>
      </c>
      <c r="G134" s="49">
        <v>2.5</v>
      </c>
      <c r="H134" s="49">
        <v>1.302</v>
      </c>
      <c r="I134" s="220">
        <f t="shared" si="58"/>
        <v>0</v>
      </c>
      <c r="J134" s="220">
        <v>0</v>
      </c>
      <c r="K134" s="65"/>
      <c r="L134" s="65"/>
      <c r="M134" s="65"/>
      <c r="N134" s="65"/>
      <c r="O134" s="47">
        <f t="shared" si="59"/>
        <v>0</v>
      </c>
      <c r="P134" s="47">
        <f t="shared" si="60"/>
        <v>0</v>
      </c>
      <c r="Q134" s="219">
        <f>J134/1000</f>
        <v>0</v>
      </c>
      <c r="R134" s="219"/>
      <c r="S134" s="219"/>
    </row>
    <row r="135" spans="1:19" s="39" customFormat="1" ht="15.75" customHeight="1">
      <c r="A135" s="218" t="s">
        <v>118</v>
      </c>
      <c r="B135" s="49">
        <f t="shared" si="57"/>
        <v>1</v>
      </c>
      <c r="C135" s="49">
        <v>0</v>
      </c>
      <c r="D135" s="49">
        <v>0</v>
      </c>
      <c r="E135" s="49">
        <v>1</v>
      </c>
      <c r="F135" s="49">
        <v>1047</v>
      </c>
      <c r="G135" s="49">
        <v>2.5</v>
      </c>
      <c r="H135" s="49">
        <v>1.302</v>
      </c>
      <c r="I135" s="220">
        <f t="shared" si="58"/>
        <v>40.9</v>
      </c>
      <c r="J135" s="220">
        <v>40895.82</v>
      </c>
      <c r="K135" s="65"/>
      <c r="L135" s="65"/>
      <c r="M135" s="65"/>
      <c r="N135" s="65"/>
      <c r="O135" s="47">
        <f t="shared" si="59"/>
        <v>40.9</v>
      </c>
      <c r="P135" s="47">
        <f t="shared" si="60"/>
        <v>40.9</v>
      </c>
      <c r="Q135" s="219">
        <v>39.6</v>
      </c>
      <c r="R135" s="219"/>
      <c r="S135" s="219"/>
    </row>
    <row r="136" spans="1:19" s="39" customFormat="1" ht="15.75" customHeight="1">
      <c r="A136" s="218" t="s">
        <v>119</v>
      </c>
      <c r="B136" s="49">
        <f t="shared" si="57"/>
        <v>0</v>
      </c>
      <c r="C136" s="49">
        <v>0</v>
      </c>
      <c r="D136" s="49">
        <v>0</v>
      </c>
      <c r="E136" s="49">
        <v>0</v>
      </c>
      <c r="F136" s="49">
        <v>1047</v>
      </c>
      <c r="G136" s="49">
        <v>2.5</v>
      </c>
      <c r="H136" s="49">
        <v>1.302</v>
      </c>
      <c r="I136" s="220">
        <f t="shared" si="58"/>
        <v>0</v>
      </c>
      <c r="J136" s="220">
        <v>0</v>
      </c>
      <c r="K136" s="65"/>
      <c r="L136" s="65"/>
      <c r="M136" s="65"/>
      <c r="N136" s="65"/>
      <c r="O136" s="47">
        <f t="shared" si="59"/>
        <v>0</v>
      </c>
      <c r="P136" s="47">
        <f t="shared" si="60"/>
        <v>0</v>
      </c>
      <c r="Q136" s="219">
        <f>J136/1000</f>
        <v>0</v>
      </c>
      <c r="R136" s="219"/>
      <c r="S136" s="219"/>
    </row>
    <row r="137" spans="1:19" s="39" customFormat="1" ht="15.75" customHeight="1">
      <c r="A137" s="218" t="s">
        <v>120</v>
      </c>
      <c r="B137" s="49">
        <f t="shared" si="57"/>
        <v>2</v>
      </c>
      <c r="C137" s="49">
        <v>0</v>
      </c>
      <c r="D137" s="49">
        <v>0</v>
      </c>
      <c r="E137" s="49">
        <v>2</v>
      </c>
      <c r="F137" s="49">
        <v>1047</v>
      </c>
      <c r="G137" s="49">
        <v>2.5</v>
      </c>
      <c r="H137" s="49">
        <v>1.302</v>
      </c>
      <c r="I137" s="220">
        <f t="shared" si="58"/>
        <v>81.8</v>
      </c>
      <c r="J137" s="220">
        <v>81791.64</v>
      </c>
      <c r="K137" s="65"/>
      <c r="L137" s="65"/>
      <c r="M137" s="65"/>
      <c r="N137" s="65"/>
      <c r="O137" s="47">
        <f t="shared" si="59"/>
        <v>81.8</v>
      </c>
      <c r="P137" s="47">
        <f t="shared" si="60"/>
        <v>81.8</v>
      </c>
      <c r="Q137" s="219">
        <v>79.2</v>
      </c>
      <c r="R137" s="219"/>
      <c r="S137" s="219"/>
    </row>
    <row r="138" spans="1:19" s="39" customFormat="1" ht="28.5" customHeight="1">
      <c r="A138" s="214" t="s">
        <v>264</v>
      </c>
      <c r="B138" s="49" t="s">
        <v>265</v>
      </c>
      <c r="C138" s="49"/>
      <c r="D138" s="49"/>
      <c r="E138" s="49"/>
      <c r="F138" s="49" t="s">
        <v>266</v>
      </c>
      <c r="G138" s="49" t="s">
        <v>246</v>
      </c>
      <c r="H138" s="49" t="s">
        <v>241</v>
      </c>
      <c r="I138" s="220"/>
      <c r="J138" s="220"/>
      <c r="K138" s="65"/>
      <c r="L138" s="65"/>
      <c r="M138" s="65"/>
      <c r="N138" s="65"/>
      <c r="O138" s="65"/>
      <c r="P138" s="65"/>
      <c r="Q138" s="220"/>
      <c r="R138" s="220"/>
      <c r="S138" s="220"/>
    </row>
    <row r="139" spans="1:19" s="39" customFormat="1" ht="81.75" customHeight="1">
      <c r="A139" s="218" t="s">
        <v>261</v>
      </c>
      <c r="B139" s="49"/>
      <c r="C139" s="49"/>
      <c r="D139" s="49"/>
      <c r="E139" s="49"/>
      <c r="F139" s="49"/>
      <c r="G139" s="49"/>
      <c r="H139" s="49"/>
      <c r="I139" s="220">
        <f aca="true" t="shared" si="61" ref="I139:P139">I140+I150+I160</f>
        <v>441.7</v>
      </c>
      <c r="J139" s="220">
        <f t="shared" si="61"/>
        <v>560528.1864</v>
      </c>
      <c r="K139" s="217">
        <f t="shared" si="61"/>
        <v>0</v>
      </c>
      <c r="L139" s="217">
        <f t="shared" si="61"/>
        <v>0</v>
      </c>
      <c r="M139" s="217">
        <f t="shared" si="61"/>
        <v>0</v>
      </c>
      <c r="N139" s="217">
        <f t="shared" si="61"/>
        <v>0</v>
      </c>
      <c r="O139" s="217">
        <f t="shared" si="61"/>
        <v>441.7</v>
      </c>
      <c r="P139" s="217">
        <f t="shared" si="61"/>
        <v>441.7</v>
      </c>
      <c r="Q139" s="220">
        <v>427.4</v>
      </c>
      <c r="R139" s="220"/>
      <c r="S139" s="220"/>
    </row>
    <row r="140" spans="1:19" s="39" customFormat="1" ht="21" customHeight="1" hidden="1">
      <c r="A140" s="218" t="s">
        <v>267</v>
      </c>
      <c r="B140" s="49">
        <f>SUM(B141:B149)</f>
        <v>0</v>
      </c>
      <c r="C140" s="49">
        <f>SUM(C141:C149)</f>
        <v>0</v>
      </c>
      <c r="D140" s="49">
        <f>SUM(D141:D149)</f>
        <v>0</v>
      </c>
      <c r="E140" s="49">
        <f>SUM(E141:E149)</f>
        <v>0</v>
      </c>
      <c r="F140" s="49"/>
      <c r="G140" s="49"/>
      <c r="H140" s="49"/>
      <c r="I140" s="220">
        <f>SUM(I141:I149)</f>
        <v>0</v>
      </c>
      <c r="J140" s="220">
        <f aca="true" t="shared" si="62" ref="J140:P140">SUM(J141:J149)</f>
        <v>0</v>
      </c>
      <c r="K140" s="217">
        <f t="shared" si="62"/>
        <v>0</v>
      </c>
      <c r="L140" s="217">
        <f t="shared" si="62"/>
        <v>0</v>
      </c>
      <c r="M140" s="217">
        <f t="shared" si="62"/>
        <v>0</v>
      </c>
      <c r="N140" s="217">
        <f t="shared" si="62"/>
        <v>0</v>
      </c>
      <c r="O140" s="217">
        <f t="shared" si="62"/>
        <v>0</v>
      </c>
      <c r="P140" s="217">
        <f t="shared" si="62"/>
        <v>0</v>
      </c>
      <c r="Q140" s="220">
        <f>SUM(Q141:Q149)</f>
        <v>0</v>
      </c>
      <c r="R140" s="220"/>
      <c r="S140" s="220"/>
    </row>
    <row r="141" spans="1:19" s="39" customFormat="1" ht="21" customHeight="1" hidden="1">
      <c r="A141" s="218" t="s">
        <v>14</v>
      </c>
      <c r="B141" s="49">
        <f>C141+D141+E141</f>
        <v>0</v>
      </c>
      <c r="C141" s="49">
        <v>0</v>
      </c>
      <c r="D141" s="49">
        <v>0</v>
      </c>
      <c r="E141" s="49">
        <v>0</v>
      </c>
      <c r="F141" s="49">
        <v>436</v>
      </c>
      <c r="G141" s="49">
        <v>2.5</v>
      </c>
      <c r="H141" s="49">
        <v>1.302</v>
      </c>
      <c r="I141" s="220">
        <f>B141*F141*G141*H141*12</f>
        <v>0</v>
      </c>
      <c r="J141" s="220">
        <v>0</v>
      </c>
      <c r="K141" s="65"/>
      <c r="L141" s="65"/>
      <c r="M141" s="65"/>
      <c r="N141" s="65"/>
      <c r="O141" s="47">
        <f>I141</f>
        <v>0</v>
      </c>
      <c r="P141" s="47">
        <f>O141</f>
        <v>0</v>
      </c>
      <c r="Q141" s="220">
        <v>0</v>
      </c>
      <c r="R141" s="220"/>
      <c r="S141" s="220"/>
    </row>
    <row r="142" spans="1:19" s="39" customFormat="1" ht="21" customHeight="1" hidden="1">
      <c r="A142" s="218" t="s">
        <v>113</v>
      </c>
      <c r="B142" s="49">
        <f aca="true" t="shared" si="63" ref="B142:B149">C142+D142+E142</f>
        <v>0</v>
      </c>
      <c r="C142" s="49">
        <v>0</v>
      </c>
      <c r="D142" s="49">
        <v>0</v>
      </c>
      <c r="E142" s="49">
        <v>0</v>
      </c>
      <c r="F142" s="49">
        <v>436</v>
      </c>
      <c r="G142" s="49">
        <v>2.5</v>
      </c>
      <c r="H142" s="49">
        <v>1.302</v>
      </c>
      <c r="I142" s="220">
        <f aca="true" t="shared" si="64" ref="I142:I149">B142*F142*G142*H142*12</f>
        <v>0</v>
      </c>
      <c r="J142" s="220">
        <v>0</v>
      </c>
      <c r="K142" s="65"/>
      <c r="L142" s="65"/>
      <c r="M142" s="65"/>
      <c r="N142" s="65"/>
      <c r="O142" s="47">
        <f aca="true" t="shared" si="65" ref="O142:O149">I142</f>
        <v>0</v>
      </c>
      <c r="P142" s="47">
        <f aca="true" t="shared" si="66" ref="P142:P149">O142</f>
        <v>0</v>
      </c>
      <c r="Q142" s="220">
        <v>0</v>
      </c>
      <c r="R142" s="220"/>
      <c r="S142" s="220"/>
    </row>
    <row r="143" spans="1:19" s="39" customFormat="1" ht="21" customHeight="1" hidden="1">
      <c r="A143" s="218" t="s">
        <v>109</v>
      </c>
      <c r="B143" s="49">
        <f t="shared" si="63"/>
        <v>0</v>
      </c>
      <c r="C143" s="49">
        <v>0</v>
      </c>
      <c r="D143" s="49">
        <v>0</v>
      </c>
      <c r="E143" s="49">
        <v>0</v>
      </c>
      <c r="F143" s="49">
        <v>436</v>
      </c>
      <c r="G143" s="49">
        <v>2.5</v>
      </c>
      <c r="H143" s="49">
        <v>1.302</v>
      </c>
      <c r="I143" s="220">
        <f t="shared" si="64"/>
        <v>0</v>
      </c>
      <c r="J143" s="220">
        <v>0</v>
      </c>
      <c r="K143" s="65"/>
      <c r="L143" s="65"/>
      <c r="M143" s="65"/>
      <c r="N143" s="65"/>
      <c r="O143" s="47">
        <f t="shared" si="65"/>
        <v>0</v>
      </c>
      <c r="P143" s="47">
        <f t="shared" si="66"/>
        <v>0</v>
      </c>
      <c r="Q143" s="220">
        <v>0</v>
      </c>
      <c r="R143" s="220"/>
      <c r="S143" s="220"/>
    </row>
    <row r="144" spans="1:19" s="39" customFormat="1" ht="21" customHeight="1" hidden="1">
      <c r="A144" s="218" t="s">
        <v>116</v>
      </c>
      <c r="B144" s="49">
        <f t="shared" si="63"/>
        <v>0</v>
      </c>
      <c r="C144" s="49">
        <v>0</v>
      </c>
      <c r="D144" s="49">
        <v>0</v>
      </c>
      <c r="E144" s="49">
        <v>0</v>
      </c>
      <c r="F144" s="49">
        <v>436</v>
      </c>
      <c r="G144" s="49">
        <v>2.7</v>
      </c>
      <c r="H144" s="49">
        <v>1.302</v>
      </c>
      <c r="I144" s="220">
        <f t="shared" si="64"/>
        <v>0</v>
      </c>
      <c r="J144" s="220">
        <v>0</v>
      </c>
      <c r="K144" s="65"/>
      <c r="L144" s="65"/>
      <c r="M144" s="65"/>
      <c r="N144" s="65"/>
      <c r="O144" s="47">
        <f t="shared" si="65"/>
        <v>0</v>
      </c>
      <c r="P144" s="47">
        <f t="shared" si="66"/>
        <v>0</v>
      </c>
      <c r="Q144" s="220">
        <v>0</v>
      </c>
      <c r="R144" s="220"/>
      <c r="S144" s="220"/>
    </row>
    <row r="145" spans="1:19" s="39" customFormat="1" ht="21" customHeight="1" hidden="1">
      <c r="A145" s="218" t="s">
        <v>112</v>
      </c>
      <c r="B145" s="49">
        <f t="shared" si="63"/>
        <v>0</v>
      </c>
      <c r="C145" s="49">
        <v>0</v>
      </c>
      <c r="D145" s="49">
        <v>0</v>
      </c>
      <c r="E145" s="49">
        <v>0</v>
      </c>
      <c r="F145" s="49">
        <v>436</v>
      </c>
      <c r="G145" s="49">
        <v>2.5</v>
      </c>
      <c r="H145" s="49">
        <v>1.302</v>
      </c>
      <c r="I145" s="220">
        <f t="shared" si="64"/>
        <v>0</v>
      </c>
      <c r="J145" s="220">
        <v>0</v>
      </c>
      <c r="K145" s="65"/>
      <c r="L145" s="65"/>
      <c r="M145" s="65"/>
      <c r="N145" s="65"/>
      <c r="O145" s="47">
        <f t="shared" si="65"/>
        <v>0</v>
      </c>
      <c r="P145" s="47">
        <f t="shared" si="66"/>
        <v>0</v>
      </c>
      <c r="Q145" s="220">
        <v>0</v>
      </c>
      <c r="R145" s="220"/>
      <c r="S145" s="220"/>
    </row>
    <row r="146" spans="1:19" s="39" customFormat="1" ht="21" customHeight="1" hidden="1">
      <c r="A146" s="218" t="s">
        <v>117</v>
      </c>
      <c r="B146" s="49">
        <f t="shared" si="63"/>
        <v>0</v>
      </c>
      <c r="C146" s="49"/>
      <c r="D146" s="49"/>
      <c r="E146" s="49"/>
      <c r="F146" s="49">
        <v>436</v>
      </c>
      <c r="G146" s="49">
        <v>2.5</v>
      </c>
      <c r="H146" s="49">
        <v>1.302</v>
      </c>
      <c r="I146" s="220">
        <f t="shared" si="64"/>
        <v>0</v>
      </c>
      <c r="J146" s="220">
        <v>0</v>
      </c>
      <c r="K146" s="65"/>
      <c r="L146" s="65"/>
      <c r="M146" s="65"/>
      <c r="N146" s="65"/>
      <c r="O146" s="47">
        <f t="shared" si="65"/>
        <v>0</v>
      </c>
      <c r="P146" s="47">
        <f t="shared" si="66"/>
        <v>0</v>
      </c>
      <c r="Q146" s="220">
        <v>0</v>
      </c>
      <c r="R146" s="220"/>
      <c r="S146" s="220"/>
    </row>
    <row r="147" spans="1:19" s="39" customFormat="1" ht="21" customHeight="1" hidden="1">
      <c r="A147" s="218" t="s">
        <v>118</v>
      </c>
      <c r="B147" s="49">
        <f t="shared" si="63"/>
        <v>0</v>
      </c>
      <c r="C147" s="49">
        <v>0</v>
      </c>
      <c r="D147" s="49">
        <v>0</v>
      </c>
      <c r="E147" s="49">
        <v>0</v>
      </c>
      <c r="F147" s="49">
        <v>436</v>
      </c>
      <c r="G147" s="49">
        <v>2.5</v>
      </c>
      <c r="H147" s="49">
        <v>1.302</v>
      </c>
      <c r="I147" s="220">
        <f t="shared" si="64"/>
        <v>0</v>
      </c>
      <c r="J147" s="220">
        <v>0</v>
      </c>
      <c r="K147" s="65"/>
      <c r="L147" s="65"/>
      <c r="M147" s="65"/>
      <c r="N147" s="65"/>
      <c r="O147" s="47">
        <f t="shared" si="65"/>
        <v>0</v>
      </c>
      <c r="P147" s="47">
        <f t="shared" si="66"/>
        <v>0</v>
      </c>
      <c r="Q147" s="220">
        <v>0</v>
      </c>
      <c r="R147" s="220"/>
      <c r="S147" s="220"/>
    </row>
    <row r="148" spans="1:19" s="39" customFormat="1" ht="21" customHeight="1" hidden="1">
      <c r="A148" s="218" t="s">
        <v>119</v>
      </c>
      <c r="B148" s="49">
        <f t="shared" si="63"/>
        <v>0</v>
      </c>
      <c r="C148" s="49">
        <v>0</v>
      </c>
      <c r="D148" s="49">
        <v>0</v>
      </c>
      <c r="E148" s="49">
        <v>0</v>
      </c>
      <c r="F148" s="49">
        <v>436</v>
      </c>
      <c r="G148" s="49">
        <v>2.5</v>
      </c>
      <c r="H148" s="49">
        <v>1.302</v>
      </c>
      <c r="I148" s="220">
        <f t="shared" si="64"/>
        <v>0</v>
      </c>
      <c r="J148" s="220">
        <v>0</v>
      </c>
      <c r="K148" s="65"/>
      <c r="L148" s="65"/>
      <c r="M148" s="65"/>
      <c r="N148" s="65"/>
      <c r="O148" s="47">
        <f t="shared" si="65"/>
        <v>0</v>
      </c>
      <c r="P148" s="47">
        <f t="shared" si="66"/>
        <v>0</v>
      </c>
      <c r="Q148" s="220">
        <v>0</v>
      </c>
      <c r="R148" s="220"/>
      <c r="S148" s="220"/>
    </row>
    <row r="149" spans="1:19" s="39" customFormat="1" ht="21" customHeight="1" hidden="1">
      <c r="A149" s="218" t="s">
        <v>120</v>
      </c>
      <c r="B149" s="49">
        <f t="shared" si="63"/>
        <v>0</v>
      </c>
      <c r="C149" s="49">
        <v>0</v>
      </c>
      <c r="D149" s="49">
        <v>0</v>
      </c>
      <c r="E149" s="49">
        <v>0</v>
      </c>
      <c r="F149" s="49">
        <v>436</v>
      </c>
      <c r="G149" s="49">
        <v>2.5</v>
      </c>
      <c r="H149" s="49">
        <v>1.302</v>
      </c>
      <c r="I149" s="220">
        <f t="shared" si="64"/>
        <v>0</v>
      </c>
      <c r="J149" s="220">
        <v>0</v>
      </c>
      <c r="K149" s="65"/>
      <c r="L149" s="65"/>
      <c r="M149" s="65"/>
      <c r="N149" s="65"/>
      <c r="O149" s="47">
        <f t="shared" si="65"/>
        <v>0</v>
      </c>
      <c r="P149" s="47">
        <f t="shared" si="66"/>
        <v>0</v>
      </c>
      <c r="Q149" s="220">
        <v>0</v>
      </c>
      <c r="R149" s="220"/>
      <c r="S149" s="220"/>
    </row>
    <row r="150" spans="1:19" s="39" customFormat="1" ht="15.75" customHeight="1">
      <c r="A150" s="218" t="s">
        <v>268</v>
      </c>
      <c r="B150" s="49">
        <f>SUM(B151:B159)</f>
        <v>19</v>
      </c>
      <c r="C150" s="49">
        <f>SUM(C151:C159)</f>
        <v>16</v>
      </c>
      <c r="D150" s="49">
        <f>SUM(D151:D159)</f>
        <v>1</v>
      </c>
      <c r="E150" s="49">
        <f>SUM(E151:E159)</f>
        <v>2</v>
      </c>
      <c r="F150" s="49"/>
      <c r="G150" s="49"/>
      <c r="H150" s="49"/>
      <c r="I150" s="220">
        <f aca="true" t="shared" si="67" ref="I150:P150">SUM(I151:I159)</f>
        <v>381</v>
      </c>
      <c r="J150" s="220">
        <f t="shared" si="67"/>
        <v>499838.32080000004</v>
      </c>
      <c r="K150" s="217">
        <f t="shared" si="67"/>
        <v>0</v>
      </c>
      <c r="L150" s="217">
        <f t="shared" si="67"/>
        <v>0</v>
      </c>
      <c r="M150" s="217">
        <f t="shared" si="67"/>
        <v>0</v>
      </c>
      <c r="N150" s="217">
        <f t="shared" si="67"/>
        <v>0</v>
      </c>
      <c r="O150" s="217">
        <f t="shared" si="67"/>
        <v>381</v>
      </c>
      <c r="P150" s="217">
        <f t="shared" si="67"/>
        <v>381</v>
      </c>
      <c r="Q150" s="220">
        <v>368.7</v>
      </c>
      <c r="R150" s="220"/>
      <c r="S150" s="220"/>
    </row>
    <row r="151" spans="1:19" s="39" customFormat="1" ht="15.75" customHeight="1">
      <c r="A151" s="218" t="s">
        <v>14</v>
      </c>
      <c r="B151" s="49">
        <f>C151+D151+E151</f>
        <v>2</v>
      </c>
      <c r="C151" s="49">
        <v>1</v>
      </c>
      <c r="D151" s="49">
        <v>1</v>
      </c>
      <c r="E151" s="49"/>
      <c r="F151" s="49">
        <v>507</v>
      </c>
      <c r="G151" s="49">
        <v>2.5</v>
      </c>
      <c r="H151" s="49">
        <v>1.302</v>
      </c>
      <c r="I151" s="220">
        <f>ROUND(B151*F151*G151*H151*12/1000,1)</f>
        <v>39.6</v>
      </c>
      <c r="J151" s="220">
        <v>39606.840000000004</v>
      </c>
      <c r="K151" s="65"/>
      <c r="L151" s="65"/>
      <c r="M151" s="65"/>
      <c r="N151" s="65"/>
      <c r="O151" s="47">
        <f>I151</f>
        <v>39.6</v>
      </c>
      <c r="P151" s="47">
        <f>O151</f>
        <v>39.6</v>
      </c>
      <c r="Q151" s="220">
        <v>38.3</v>
      </c>
      <c r="R151" s="220"/>
      <c r="S151" s="220"/>
    </row>
    <row r="152" spans="1:19" s="39" customFormat="1" ht="15.75" customHeight="1">
      <c r="A152" s="218" t="s">
        <v>113</v>
      </c>
      <c r="B152" s="49">
        <f aca="true" t="shared" si="68" ref="B152:B159">C152+D152+E152</f>
        <v>2</v>
      </c>
      <c r="C152" s="49">
        <v>2</v>
      </c>
      <c r="D152" s="49">
        <v>0</v>
      </c>
      <c r="E152" s="49">
        <v>0</v>
      </c>
      <c r="F152" s="49">
        <v>507</v>
      </c>
      <c r="G152" s="49">
        <v>2.5</v>
      </c>
      <c r="H152" s="49">
        <v>1.302</v>
      </c>
      <c r="I152" s="220">
        <f aca="true" t="shared" si="69" ref="I152:I159">ROUND(B152*F152*G152*H152*12/1000,1)</f>
        <v>39.6</v>
      </c>
      <c r="J152" s="220">
        <v>59410.26000000001</v>
      </c>
      <c r="K152" s="65"/>
      <c r="L152" s="65"/>
      <c r="M152" s="65"/>
      <c r="N152" s="65"/>
      <c r="O152" s="47">
        <f aca="true" t="shared" si="70" ref="O152:O159">I152</f>
        <v>39.6</v>
      </c>
      <c r="P152" s="47">
        <f aca="true" t="shared" si="71" ref="P152:P159">O152</f>
        <v>39.6</v>
      </c>
      <c r="Q152" s="220">
        <v>38.3</v>
      </c>
      <c r="R152" s="220"/>
      <c r="S152" s="220"/>
    </row>
    <row r="153" spans="1:19" s="39" customFormat="1" ht="15.75" customHeight="1">
      <c r="A153" s="218" t="s">
        <v>109</v>
      </c>
      <c r="B153" s="49">
        <f t="shared" si="68"/>
        <v>0</v>
      </c>
      <c r="C153" s="49">
        <v>0</v>
      </c>
      <c r="D153" s="49">
        <v>0</v>
      </c>
      <c r="E153" s="49">
        <v>0</v>
      </c>
      <c r="F153" s="49">
        <v>507</v>
      </c>
      <c r="G153" s="49">
        <v>2.5</v>
      </c>
      <c r="H153" s="49">
        <v>1.302</v>
      </c>
      <c r="I153" s="220">
        <f t="shared" si="69"/>
        <v>0</v>
      </c>
      <c r="J153" s="220">
        <v>0</v>
      </c>
      <c r="K153" s="65"/>
      <c r="L153" s="65"/>
      <c r="M153" s="65"/>
      <c r="N153" s="65"/>
      <c r="O153" s="47">
        <f t="shared" si="70"/>
        <v>0</v>
      </c>
      <c r="P153" s="47">
        <f t="shared" si="71"/>
        <v>0</v>
      </c>
      <c r="Q153" s="220">
        <v>0</v>
      </c>
      <c r="R153" s="220"/>
      <c r="S153" s="220"/>
    </row>
    <row r="154" spans="1:19" s="39" customFormat="1" ht="15.75" customHeight="1">
      <c r="A154" s="218" t="s">
        <v>116</v>
      </c>
      <c r="B154" s="49">
        <f t="shared" si="68"/>
        <v>3</v>
      </c>
      <c r="C154" s="49">
        <v>1</v>
      </c>
      <c r="D154" s="49">
        <v>0</v>
      </c>
      <c r="E154" s="49">
        <v>2</v>
      </c>
      <c r="F154" s="49">
        <v>507</v>
      </c>
      <c r="G154" s="49">
        <v>2.7</v>
      </c>
      <c r="H154" s="49">
        <v>1.302</v>
      </c>
      <c r="I154" s="220">
        <f t="shared" si="69"/>
        <v>64.2</v>
      </c>
      <c r="J154" s="220">
        <v>64163.080799999996</v>
      </c>
      <c r="K154" s="65"/>
      <c r="L154" s="65"/>
      <c r="M154" s="65"/>
      <c r="N154" s="65"/>
      <c r="O154" s="47">
        <f t="shared" si="70"/>
        <v>64.2</v>
      </c>
      <c r="P154" s="47">
        <f t="shared" si="71"/>
        <v>64.2</v>
      </c>
      <c r="Q154" s="220">
        <v>62.1</v>
      </c>
      <c r="R154" s="220"/>
      <c r="S154" s="220"/>
    </row>
    <row r="155" spans="1:19" s="39" customFormat="1" ht="15.75" customHeight="1">
      <c r="A155" s="218" t="s">
        <v>112</v>
      </c>
      <c r="B155" s="49">
        <f t="shared" si="68"/>
        <v>2</v>
      </c>
      <c r="C155" s="49">
        <v>2</v>
      </c>
      <c r="D155" s="49">
        <v>0</v>
      </c>
      <c r="E155" s="49">
        <v>0</v>
      </c>
      <c r="F155" s="49">
        <v>507</v>
      </c>
      <c r="G155" s="49">
        <v>2.5</v>
      </c>
      <c r="H155" s="49">
        <v>1.302</v>
      </c>
      <c r="I155" s="220">
        <f t="shared" si="69"/>
        <v>39.6</v>
      </c>
      <c r="J155" s="220">
        <v>39606.840000000004</v>
      </c>
      <c r="K155" s="65"/>
      <c r="L155" s="65"/>
      <c r="M155" s="65"/>
      <c r="N155" s="65"/>
      <c r="O155" s="47">
        <f t="shared" si="70"/>
        <v>39.6</v>
      </c>
      <c r="P155" s="47">
        <f t="shared" si="71"/>
        <v>39.6</v>
      </c>
      <c r="Q155" s="220">
        <v>38.3</v>
      </c>
      <c r="R155" s="220"/>
      <c r="S155" s="220"/>
    </row>
    <row r="156" spans="1:19" s="39" customFormat="1" ht="15.75" customHeight="1">
      <c r="A156" s="218" t="s">
        <v>117</v>
      </c>
      <c r="B156" s="49">
        <f t="shared" si="68"/>
        <v>4</v>
      </c>
      <c r="C156" s="49">
        <v>4</v>
      </c>
      <c r="D156" s="49">
        <v>0</v>
      </c>
      <c r="E156" s="49">
        <v>0</v>
      </c>
      <c r="F156" s="49">
        <v>507</v>
      </c>
      <c r="G156" s="49">
        <v>2.5</v>
      </c>
      <c r="H156" s="49">
        <v>1.302</v>
      </c>
      <c r="I156" s="220">
        <f t="shared" si="69"/>
        <v>79.2</v>
      </c>
      <c r="J156" s="220">
        <v>79213.68000000001</v>
      </c>
      <c r="K156" s="65"/>
      <c r="L156" s="65"/>
      <c r="M156" s="65"/>
      <c r="N156" s="65"/>
      <c r="O156" s="47">
        <f t="shared" si="70"/>
        <v>79.2</v>
      </c>
      <c r="P156" s="47">
        <f t="shared" si="71"/>
        <v>79.2</v>
      </c>
      <c r="Q156" s="220">
        <v>76.7</v>
      </c>
      <c r="R156" s="220"/>
      <c r="S156" s="220"/>
    </row>
    <row r="157" spans="1:19" s="39" customFormat="1" ht="15.75" customHeight="1">
      <c r="A157" s="218" t="s">
        <v>118</v>
      </c>
      <c r="B157" s="49">
        <f t="shared" si="68"/>
        <v>2</v>
      </c>
      <c r="C157" s="49">
        <v>2</v>
      </c>
      <c r="D157" s="49">
        <v>0</v>
      </c>
      <c r="E157" s="49">
        <v>0</v>
      </c>
      <c r="F157" s="49">
        <v>507</v>
      </c>
      <c r="G157" s="49">
        <v>2.5</v>
      </c>
      <c r="H157" s="49">
        <v>1.302</v>
      </c>
      <c r="I157" s="220">
        <f t="shared" si="69"/>
        <v>39.6</v>
      </c>
      <c r="J157" s="220">
        <v>39606.840000000004</v>
      </c>
      <c r="K157" s="65"/>
      <c r="L157" s="65"/>
      <c r="M157" s="65"/>
      <c r="N157" s="65"/>
      <c r="O157" s="47">
        <f t="shared" si="70"/>
        <v>39.6</v>
      </c>
      <c r="P157" s="47">
        <f t="shared" si="71"/>
        <v>39.6</v>
      </c>
      <c r="Q157" s="220">
        <v>38.3</v>
      </c>
      <c r="R157" s="220"/>
      <c r="S157" s="220"/>
    </row>
    <row r="158" spans="1:19" s="39" customFormat="1" ht="15.75" customHeight="1">
      <c r="A158" s="218" t="s">
        <v>119</v>
      </c>
      <c r="B158" s="49">
        <f t="shared" si="68"/>
        <v>3</v>
      </c>
      <c r="C158" s="49">
        <v>3</v>
      </c>
      <c r="D158" s="49">
        <v>0</v>
      </c>
      <c r="E158" s="49">
        <v>0</v>
      </c>
      <c r="F158" s="49">
        <v>507</v>
      </c>
      <c r="G158" s="49">
        <v>2.5</v>
      </c>
      <c r="H158" s="49">
        <v>1.302</v>
      </c>
      <c r="I158" s="220">
        <f t="shared" si="69"/>
        <v>59.4</v>
      </c>
      <c r="J158" s="220">
        <v>99017.1</v>
      </c>
      <c r="K158" s="65"/>
      <c r="L158" s="65"/>
      <c r="M158" s="65"/>
      <c r="N158" s="65"/>
      <c r="O158" s="47">
        <f t="shared" si="70"/>
        <v>59.4</v>
      </c>
      <c r="P158" s="47">
        <f t="shared" si="71"/>
        <v>59.4</v>
      </c>
      <c r="Q158" s="220">
        <v>57.5</v>
      </c>
      <c r="R158" s="220"/>
      <c r="S158" s="220"/>
    </row>
    <row r="159" spans="1:19" s="39" customFormat="1" ht="15.75" customHeight="1">
      <c r="A159" s="218" t="s">
        <v>120</v>
      </c>
      <c r="B159" s="49">
        <f t="shared" si="68"/>
        <v>1</v>
      </c>
      <c r="C159" s="49">
        <v>1</v>
      </c>
      <c r="D159" s="49">
        <v>0</v>
      </c>
      <c r="E159" s="49">
        <v>0</v>
      </c>
      <c r="F159" s="49">
        <v>507</v>
      </c>
      <c r="G159" s="49">
        <v>2.5</v>
      </c>
      <c r="H159" s="49">
        <v>1.302</v>
      </c>
      <c r="I159" s="220">
        <f t="shared" si="69"/>
        <v>19.8</v>
      </c>
      <c r="J159" s="220">
        <v>79213.68000000001</v>
      </c>
      <c r="K159" s="65"/>
      <c r="L159" s="65"/>
      <c r="M159" s="65"/>
      <c r="N159" s="65"/>
      <c r="O159" s="47">
        <f t="shared" si="70"/>
        <v>19.8</v>
      </c>
      <c r="P159" s="47">
        <f t="shared" si="71"/>
        <v>19.8</v>
      </c>
      <c r="Q159" s="220">
        <v>19.2</v>
      </c>
      <c r="R159" s="220"/>
      <c r="S159" s="220"/>
    </row>
    <row r="160" spans="1:19" s="39" customFormat="1" ht="15.75" customHeight="1">
      <c r="A160" s="218" t="s">
        <v>269</v>
      </c>
      <c r="B160" s="49">
        <f>SUM(B161:B169)</f>
        <v>2</v>
      </c>
      <c r="C160" s="49">
        <f>SUM(C161:C169)</f>
        <v>0</v>
      </c>
      <c r="D160" s="49">
        <f>SUM(D161:D169)</f>
        <v>1</v>
      </c>
      <c r="E160" s="49">
        <f>SUM(E161:E169)</f>
        <v>1</v>
      </c>
      <c r="F160" s="49"/>
      <c r="G160" s="49"/>
      <c r="H160" s="49"/>
      <c r="I160" s="220">
        <f>SUM(I161:I169)</f>
        <v>60.7</v>
      </c>
      <c r="J160" s="220">
        <f aca="true" t="shared" si="72" ref="J160:P160">SUM(J161:J169)</f>
        <v>60689.865600000005</v>
      </c>
      <c r="K160" s="217">
        <f t="shared" si="72"/>
        <v>0</v>
      </c>
      <c r="L160" s="217">
        <f t="shared" si="72"/>
        <v>0</v>
      </c>
      <c r="M160" s="217">
        <f t="shared" si="72"/>
        <v>0</v>
      </c>
      <c r="N160" s="217">
        <f t="shared" si="72"/>
        <v>0</v>
      </c>
      <c r="O160" s="217">
        <f t="shared" si="72"/>
        <v>60.7</v>
      </c>
      <c r="P160" s="217">
        <f t="shared" si="72"/>
        <v>60.7</v>
      </c>
      <c r="Q160" s="220">
        <v>58.7</v>
      </c>
      <c r="R160" s="220"/>
      <c r="S160" s="220"/>
    </row>
    <row r="161" spans="1:19" s="39" customFormat="1" ht="15.75" customHeight="1">
      <c r="A161" s="218" t="s">
        <v>14</v>
      </c>
      <c r="B161" s="49">
        <f>C161+D161+E161</f>
        <v>0</v>
      </c>
      <c r="C161" s="49">
        <v>0</v>
      </c>
      <c r="D161" s="49">
        <v>0</v>
      </c>
      <c r="E161" s="49">
        <v>0</v>
      </c>
      <c r="F161" s="49">
        <v>747</v>
      </c>
      <c r="G161" s="49">
        <v>2.5</v>
      </c>
      <c r="H161" s="49">
        <v>1.302</v>
      </c>
      <c r="I161" s="220">
        <f>ROUND(B161*F161*G161*H161*12/1000,1)</f>
        <v>0</v>
      </c>
      <c r="J161" s="220">
        <v>0</v>
      </c>
      <c r="K161" s="65"/>
      <c r="L161" s="65"/>
      <c r="M161" s="65"/>
      <c r="N161" s="65"/>
      <c r="O161" s="47">
        <f>I161</f>
        <v>0</v>
      </c>
      <c r="P161" s="47">
        <f>O161</f>
        <v>0</v>
      </c>
      <c r="Q161" s="220">
        <v>0</v>
      </c>
      <c r="R161" s="220"/>
      <c r="S161" s="220"/>
    </row>
    <row r="162" spans="1:19" s="39" customFormat="1" ht="15.75" customHeight="1">
      <c r="A162" s="218" t="s">
        <v>113</v>
      </c>
      <c r="B162" s="49">
        <f aca="true" t="shared" si="73" ref="B162:B169">C162+D162+E162</f>
        <v>0</v>
      </c>
      <c r="C162" s="49">
        <v>0</v>
      </c>
      <c r="D162" s="49">
        <v>0</v>
      </c>
      <c r="E162" s="49">
        <v>0</v>
      </c>
      <c r="F162" s="49">
        <v>747</v>
      </c>
      <c r="G162" s="49">
        <v>2.5</v>
      </c>
      <c r="H162" s="49">
        <v>1.302</v>
      </c>
      <c r="I162" s="220">
        <f aca="true" t="shared" si="74" ref="I162:I169">ROUND(B162*F162*G162*H162*12/1000,1)</f>
        <v>0</v>
      </c>
      <c r="J162" s="220">
        <v>0</v>
      </c>
      <c r="K162" s="65"/>
      <c r="L162" s="65"/>
      <c r="M162" s="65"/>
      <c r="N162" s="65"/>
      <c r="O162" s="47">
        <f aca="true" t="shared" si="75" ref="O162:O169">I162</f>
        <v>0</v>
      </c>
      <c r="P162" s="47">
        <f aca="true" t="shared" si="76" ref="P162:P169">O162</f>
        <v>0</v>
      </c>
      <c r="Q162" s="220">
        <v>0</v>
      </c>
      <c r="R162" s="220"/>
      <c r="S162" s="220"/>
    </row>
    <row r="163" spans="1:19" s="39" customFormat="1" ht="15.75" customHeight="1">
      <c r="A163" s="218" t="s">
        <v>109</v>
      </c>
      <c r="B163" s="49">
        <f t="shared" si="73"/>
        <v>0</v>
      </c>
      <c r="C163" s="49">
        <v>0</v>
      </c>
      <c r="D163" s="49">
        <v>0</v>
      </c>
      <c r="E163" s="49">
        <v>0</v>
      </c>
      <c r="F163" s="49">
        <v>747</v>
      </c>
      <c r="G163" s="49">
        <v>2.5</v>
      </c>
      <c r="H163" s="49">
        <v>1.302</v>
      </c>
      <c r="I163" s="220">
        <f t="shared" si="74"/>
        <v>0</v>
      </c>
      <c r="J163" s="220">
        <v>0</v>
      </c>
      <c r="K163" s="65"/>
      <c r="L163" s="65"/>
      <c r="M163" s="65"/>
      <c r="N163" s="65"/>
      <c r="O163" s="47">
        <f t="shared" si="75"/>
        <v>0</v>
      </c>
      <c r="P163" s="47">
        <f t="shared" si="76"/>
        <v>0</v>
      </c>
      <c r="Q163" s="220">
        <v>0</v>
      </c>
      <c r="R163" s="220"/>
      <c r="S163" s="220"/>
    </row>
    <row r="164" spans="1:19" s="39" customFormat="1" ht="15.75" customHeight="1">
      <c r="A164" s="218" t="s">
        <v>116</v>
      </c>
      <c r="B164" s="49">
        <f t="shared" si="73"/>
        <v>1</v>
      </c>
      <c r="C164" s="49">
        <v>0</v>
      </c>
      <c r="D164" s="49">
        <v>0</v>
      </c>
      <c r="E164" s="49">
        <v>1</v>
      </c>
      <c r="F164" s="49">
        <v>747</v>
      </c>
      <c r="G164" s="49">
        <v>2.7</v>
      </c>
      <c r="H164" s="49">
        <v>1.302</v>
      </c>
      <c r="I164" s="220">
        <f t="shared" si="74"/>
        <v>31.5</v>
      </c>
      <c r="J164" s="220">
        <v>31512.045600000005</v>
      </c>
      <c r="K164" s="65"/>
      <c r="L164" s="65"/>
      <c r="M164" s="65"/>
      <c r="N164" s="65"/>
      <c r="O164" s="47">
        <f t="shared" si="75"/>
        <v>31.5</v>
      </c>
      <c r="P164" s="47">
        <f t="shared" si="76"/>
        <v>31.5</v>
      </c>
      <c r="Q164" s="220">
        <v>30.5</v>
      </c>
      <c r="R164" s="220"/>
      <c r="S164" s="220"/>
    </row>
    <row r="165" spans="1:19" s="39" customFormat="1" ht="15.75" customHeight="1">
      <c r="A165" s="218" t="s">
        <v>112</v>
      </c>
      <c r="B165" s="49">
        <f t="shared" si="73"/>
        <v>1</v>
      </c>
      <c r="C165" s="49">
        <v>0</v>
      </c>
      <c r="D165" s="49">
        <v>1</v>
      </c>
      <c r="E165" s="49">
        <v>0</v>
      </c>
      <c r="F165" s="49">
        <v>747</v>
      </c>
      <c r="G165" s="49">
        <v>2.5</v>
      </c>
      <c r="H165" s="49">
        <v>1.302</v>
      </c>
      <c r="I165" s="220">
        <f t="shared" si="74"/>
        <v>29.2</v>
      </c>
      <c r="J165" s="220">
        <v>29177.82</v>
      </c>
      <c r="K165" s="65"/>
      <c r="L165" s="65"/>
      <c r="M165" s="65"/>
      <c r="N165" s="65"/>
      <c r="O165" s="47">
        <f t="shared" si="75"/>
        <v>29.2</v>
      </c>
      <c r="P165" s="47">
        <f t="shared" si="76"/>
        <v>29.2</v>
      </c>
      <c r="Q165" s="220">
        <v>28.2</v>
      </c>
      <c r="R165" s="220"/>
      <c r="S165" s="220"/>
    </row>
    <row r="166" spans="1:19" s="39" customFormat="1" ht="15.75" customHeight="1">
      <c r="A166" s="218" t="s">
        <v>117</v>
      </c>
      <c r="B166" s="49">
        <f t="shared" si="73"/>
        <v>0</v>
      </c>
      <c r="C166" s="49">
        <v>0</v>
      </c>
      <c r="D166" s="49">
        <v>0</v>
      </c>
      <c r="E166" s="49">
        <v>0</v>
      </c>
      <c r="F166" s="49">
        <v>747</v>
      </c>
      <c r="G166" s="49">
        <v>2.5</v>
      </c>
      <c r="H166" s="49">
        <v>1.302</v>
      </c>
      <c r="I166" s="220">
        <f t="shared" si="74"/>
        <v>0</v>
      </c>
      <c r="J166" s="220">
        <v>0</v>
      </c>
      <c r="K166" s="65"/>
      <c r="L166" s="65"/>
      <c r="M166" s="65"/>
      <c r="N166" s="65"/>
      <c r="O166" s="47">
        <f t="shared" si="75"/>
        <v>0</v>
      </c>
      <c r="P166" s="47">
        <f t="shared" si="76"/>
        <v>0</v>
      </c>
      <c r="Q166" s="220">
        <v>0</v>
      </c>
      <c r="R166" s="220"/>
      <c r="S166" s="220"/>
    </row>
    <row r="167" spans="1:19" s="39" customFormat="1" ht="15.75" customHeight="1">
      <c r="A167" s="218" t="s">
        <v>118</v>
      </c>
      <c r="B167" s="49">
        <f t="shared" si="73"/>
        <v>0</v>
      </c>
      <c r="C167" s="49">
        <v>0</v>
      </c>
      <c r="D167" s="49">
        <v>0</v>
      </c>
      <c r="E167" s="49">
        <v>0</v>
      </c>
      <c r="F167" s="49">
        <v>747</v>
      </c>
      <c r="G167" s="49">
        <v>2.5</v>
      </c>
      <c r="H167" s="49">
        <v>1.302</v>
      </c>
      <c r="I167" s="220">
        <f t="shared" si="74"/>
        <v>0</v>
      </c>
      <c r="J167" s="220">
        <v>0</v>
      </c>
      <c r="K167" s="65"/>
      <c r="L167" s="65"/>
      <c r="M167" s="65"/>
      <c r="N167" s="65"/>
      <c r="O167" s="47">
        <f t="shared" si="75"/>
        <v>0</v>
      </c>
      <c r="P167" s="47">
        <f t="shared" si="76"/>
        <v>0</v>
      </c>
      <c r="Q167" s="220">
        <v>0</v>
      </c>
      <c r="R167" s="220"/>
      <c r="S167" s="220"/>
    </row>
    <row r="168" spans="1:19" s="39" customFormat="1" ht="15.75" customHeight="1">
      <c r="A168" s="218" t="s">
        <v>119</v>
      </c>
      <c r="B168" s="49">
        <f t="shared" si="73"/>
        <v>0</v>
      </c>
      <c r="C168" s="49">
        <v>0</v>
      </c>
      <c r="D168" s="49">
        <v>0</v>
      </c>
      <c r="E168" s="49">
        <v>0</v>
      </c>
      <c r="F168" s="49">
        <v>747</v>
      </c>
      <c r="G168" s="49">
        <v>2.5</v>
      </c>
      <c r="H168" s="49">
        <v>1.302</v>
      </c>
      <c r="I168" s="220">
        <f t="shared" si="74"/>
        <v>0</v>
      </c>
      <c r="J168" s="220">
        <v>0</v>
      </c>
      <c r="K168" s="65"/>
      <c r="L168" s="65"/>
      <c r="M168" s="65"/>
      <c r="N168" s="65"/>
      <c r="O168" s="47">
        <f t="shared" si="75"/>
        <v>0</v>
      </c>
      <c r="P168" s="47">
        <f t="shared" si="76"/>
        <v>0</v>
      </c>
      <c r="Q168" s="220">
        <v>0</v>
      </c>
      <c r="R168" s="220"/>
      <c r="S168" s="220"/>
    </row>
    <row r="169" spans="1:19" s="39" customFormat="1" ht="15.75" customHeight="1">
      <c r="A169" s="218" t="s">
        <v>120</v>
      </c>
      <c r="B169" s="49">
        <f t="shared" si="73"/>
        <v>0</v>
      </c>
      <c r="C169" s="49">
        <v>0</v>
      </c>
      <c r="D169" s="49">
        <v>0</v>
      </c>
      <c r="E169" s="49">
        <v>0</v>
      </c>
      <c r="F169" s="49">
        <v>747</v>
      </c>
      <c r="G169" s="49">
        <v>2.5</v>
      </c>
      <c r="H169" s="49">
        <v>1.302</v>
      </c>
      <c r="I169" s="220">
        <f t="shared" si="74"/>
        <v>0</v>
      </c>
      <c r="J169" s="220">
        <v>0</v>
      </c>
      <c r="K169" s="65"/>
      <c r="L169" s="65"/>
      <c r="M169" s="65" t="s">
        <v>270</v>
      </c>
      <c r="N169" s="65"/>
      <c r="O169" s="47">
        <f t="shared" si="75"/>
        <v>0</v>
      </c>
      <c r="P169" s="47">
        <f t="shared" si="76"/>
        <v>0</v>
      </c>
      <c r="Q169" s="220">
        <v>0</v>
      </c>
      <c r="R169" s="220"/>
      <c r="S169" s="220"/>
    </row>
    <row r="170" spans="1:19" s="39" customFormat="1" ht="24.75" customHeight="1" hidden="1" thickBot="1">
      <c r="A170" s="227" t="s">
        <v>15</v>
      </c>
      <c r="B170" s="228">
        <f>SUM(B171:B179)</f>
        <v>1882</v>
      </c>
      <c r="C170" s="228">
        <f>SUM(C171:C179)</f>
        <v>579</v>
      </c>
      <c r="D170" s="228">
        <f>SUM(D171:D179)</f>
        <v>678</v>
      </c>
      <c r="E170" s="228">
        <f>SUM(E171:E179)</f>
        <v>625</v>
      </c>
      <c r="F170" s="228"/>
      <c r="G170" s="228"/>
      <c r="H170" s="228"/>
      <c r="I170" s="229">
        <f>SUM(I171:I179)</f>
        <v>37480.6</v>
      </c>
      <c r="J170" s="230">
        <f aca="true" t="shared" si="77" ref="J170:P170">SUM(J171:J179)</f>
        <v>45622515.9376</v>
      </c>
      <c r="K170" s="231">
        <f t="shared" si="77"/>
        <v>42639.5</v>
      </c>
      <c r="L170" s="232">
        <f t="shared" si="77"/>
        <v>5158.899999999999</v>
      </c>
      <c r="M170" s="232">
        <f t="shared" si="77"/>
        <v>41902200</v>
      </c>
      <c r="N170" s="232">
        <f t="shared" si="77"/>
        <v>-41864719.39999999</v>
      </c>
      <c r="O170" s="232">
        <f>SUM(O171:O179)</f>
        <v>37480.6</v>
      </c>
      <c r="P170" s="232">
        <f t="shared" si="77"/>
        <v>37480.6</v>
      </c>
      <c r="Q170" s="230">
        <f>SUM(Q171:Q179)</f>
        <v>45622.51593760001</v>
      </c>
      <c r="R170" s="230">
        <f>SUM(R171:R179)</f>
        <v>42.639500000000005</v>
      </c>
      <c r="S170" s="230">
        <f>SUM(S171:S179)</f>
        <v>5.158899999999998</v>
      </c>
    </row>
    <row r="171" spans="1:19" s="39" customFormat="1" ht="18" customHeight="1" hidden="1">
      <c r="A171" s="40" t="s">
        <v>14</v>
      </c>
      <c r="B171" s="41">
        <f>C171+D171+E171</f>
        <v>1093</v>
      </c>
      <c r="C171" s="41">
        <f aca="true" t="shared" si="78" ref="C171:E179">C161+C151+C141+C129+C119+C107+C96+C85+C74+C64+C54+C32+C21</f>
        <v>390</v>
      </c>
      <c r="D171" s="41">
        <f t="shared" si="78"/>
        <v>537</v>
      </c>
      <c r="E171" s="41">
        <f t="shared" si="78"/>
        <v>166</v>
      </c>
      <c r="F171" s="41"/>
      <c r="G171" s="41"/>
      <c r="H171" s="41"/>
      <c r="I171" s="42">
        <f aca="true" t="shared" si="79" ref="I171:I179">I161+I151+I141+I129+I119+I107+I96+I85+I74+I64+I54+I32+I21</f>
        <v>22455.000000000004</v>
      </c>
      <c r="J171" s="211">
        <v>27446313.76</v>
      </c>
      <c r="K171" s="43">
        <v>28490.4</v>
      </c>
      <c r="L171" s="44">
        <f>K171-I171</f>
        <v>6035.399999999998</v>
      </c>
      <c r="M171" s="45">
        <v>28274500</v>
      </c>
      <c r="N171" s="46">
        <f>I171-M171</f>
        <v>-28252045</v>
      </c>
      <c r="O171" s="47">
        <f>I171</f>
        <v>22455.000000000004</v>
      </c>
      <c r="P171" s="47">
        <f>O171</f>
        <v>22455.000000000004</v>
      </c>
      <c r="Q171" s="233">
        <f>J171/1000</f>
        <v>27446.31376</v>
      </c>
      <c r="R171" s="233">
        <f aca="true" t="shared" si="80" ref="R171:S179">K171/1000</f>
        <v>28.4904</v>
      </c>
      <c r="S171" s="233">
        <f t="shared" si="80"/>
        <v>6.035399999999997</v>
      </c>
    </row>
    <row r="172" spans="1:19" s="39" customFormat="1" ht="18" customHeight="1" hidden="1">
      <c r="A172" s="48" t="s">
        <v>113</v>
      </c>
      <c r="B172" s="49">
        <f aca="true" t="shared" si="81" ref="B172:B179">C172+D172+E172</f>
        <v>164</v>
      </c>
      <c r="C172" s="49">
        <f t="shared" si="78"/>
        <v>40</v>
      </c>
      <c r="D172" s="49">
        <f t="shared" si="78"/>
        <v>23</v>
      </c>
      <c r="E172" s="49">
        <f t="shared" si="78"/>
        <v>101</v>
      </c>
      <c r="F172" s="49"/>
      <c r="G172" s="49"/>
      <c r="H172" s="49"/>
      <c r="I172" s="50">
        <f t="shared" si="79"/>
        <v>3138.2</v>
      </c>
      <c r="J172" s="212">
        <v>3687289.86</v>
      </c>
      <c r="K172" s="43">
        <v>2659.5</v>
      </c>
      <c r="L172" s="44">
        <f aca="true" t="shared" si="82" ref="L172:L179">K172-I172</f>
        <v>-478.6999999999998</v>
      </c>
      <c r="M172" s="45">
        <v>2654900</v>
      </c>
      <c r="N172" s="46">
        <f aca="true" t="shared" si="83" ref="N172:N179">I172-M172</f>
        <v>-2651761.8</v>
      </c>
      <c r="O172" s="47">
        <f aca="true" t="shared" si="84" ref="O172:O179">I172</f>
        <v>3138.2</v>
      </c>
      <c r="P172" s="47">
        <f aca="true" t="shared" si="85" ref="P172:P179">O172</f>
        <v>3138.2</v>
      </c>
      <c r="Q172" s="212">
        <f>J172/1000</f>
        <v>3687.28986</v>
      </c>
      <c r="R172" s="212">
        <f t="shared" si="80"/>
        <v>2.6595</v>
      </c>
      <c r="S172" s="212">
        <f t="shared" si="80"/>
        <v>-0.4786999999999998</v>
      </c>
    </row>
    <row r="173" spans="1:19" s="39" customFormat="1" ht="18" customHeight="1" hidden="1">
      <c r="A173" s="48" t="s">
        <v>109</v>
      </c>
      <c r="B173" s="49">
        <f t="shared" si="81"/>
        <v>86</v>
      </c>
      <c r="C173" s="49">
        <f t="shared" si="78"/>
        <v>25</v>
      </c>
      <c r="D173" s="49">
        <f t="shared" si="78"/>
        <v>15</v>
      </c>
      <c r="E173" s="49">
        <f t="shared" si="78"/>
        <v>46</v>
      </c>
      <c r="F173" s="49"/>
      <c r="G173" s="49"/>
      <c r="H173" s="49"/>
      <c r="I173" s="50">
        <f t="shared" si="79"/>
        <v>1507.8</v>
      </c>
      <c r="J173" s="212">
        <v>1880429.82</v>
      </c>
      <c r="K173" s="43">
        <v>1584.3</v>
      </c>
      <c r="L173" s="44">
        <f t="shared" si="82"/>
        <v>76.5</v>
      </c>
      <c r="M173" s="45">
        <v>1363600</v>
      </c>
      <c r="N173" s="46">
        <f t="shared" si="83"/>
        <v>-1362092.2</v>
      </c>
      <c r="O173" s="47">
        <f t="shared" si="84"/>
        <v>1507.8</v>
      </c>
      <c r="P173" s="47">
        <f t="shared" si="85"/>
        <v>1507.8</v>
      </c>
      <c r="Q173" s="212">
        <f aca="true" t="shared" si="86" ref="Q173:Q179">J173/1000</f>
        <v>1880.42982</v>
      </c>
      <c r="R173" s="212">
        <f t="shared" si="80"/>
        <v>1.5843</v>
      </c>
      <c r="S173" s="212">
        <f t="shared" si="80"/>
        <v>0.0765</v>
      </c>
    </row>
    <row r="174" spans="1:19" s="39" customFormat="1" ht="18" customHeight="1" hidden="1">
      <c r="A174" s="48" t="s">
        <v>116</v>
      </c>
      <c r="B174" s="49">
        <f t="shared" si="81"/>
        <v>34</v>
      </c>
      <c r="C174" s="49">
        <f t="shared" si="78"/>
        <v>6</v>
      </c>
      <c r="D174" s="49">
        <f t="shared" si="78"/>
        <v>4</v>
      </c>
      <c r="E174" s="49">
        <f t="shared" si="78"/>
        <v>24</v>
      </c>
      <c r="F174" s="49"/>
      <c r="G174" s="49"/>
      <c r="H174" s="49"/>
      <c r="I174" s="50">
        <f t="shared" si="79"/>
        <v>724.8</v>
      </c>
      <c r="J174" s="212">
        <v>754559.5176000001</v>
      </c>
      <c r="K174" s="43">
        <v>620.8</v>
      </c>
      <c r="L174" s="44">
        <f t="shared" si="82"/>
        <v>-104</v>
      </c>
      <c r="M174" s="45">
        <v>642200</v>
      </c>
      <c r="N174" s="46">
        <f t="shared" si="83"/>
        <v>-641475.2</v>
      </c>
      <c r="O174" s="47">
        <f t="shared" si="84"/>
        <v>724.8</v>
      </c>
      <c r="P174" s="47">
        <f t="shared" si="85"/>
        <v>724.8</v>
      </c>
      <c r="Q174" s="212">
        <f t="shared" si="86"/>
        <v>754.5595176000002</v>
      </c>
      <c r="R174" s="212">
        <f t="shared" si="80"/>
        <v>0.6207999999999999</v>
      </c>
      <c r="S174" s="212">
        <f t="shared" si="80"/>
        <v>-0.104</v>
      </c>
    </row>
    <row r="175" spans="1:19" s="39" customFormat="1" ht="18" customHeight="1" hidden="1">
      <c r="A175" s="48" t="s">
        <v>112</v>
      </c>
      <c r="B175" s="49">
        <f t="shared" si="81"/>
        <v>69</v>
      </c>
      <c r="C175" s="49">
        <f t="shared" si="78"/>
        <v>22</v>
      </c>
      <c r="D175" s="49">
        <f t="shared" si="78"/>
        <v>19</v>
      </c>
      <c r="E175" s="49">
        <f t="shared" si="78"/>
        <v>28</v>
      </c>
      <c r="F175" s="49"/>
      <c r="G175" s="49"/>
      <c r="H175" s="49"/>
      <c r="I175" s="50">
        <f t="shared" si="79"/>
        <v>1429.6</v>
      </c>
      <c r="J175" s="212">
        <v>1459086.2999999998</v>
      </c>
      <c r="K175" s="43">
        <v>1294.2</v>
      </c>
      <c r="L175" s="44">
        <f t="shared" si="82"/>
        <v>-135.39999999999986</v>
      </c>
      <c r="M175" s="45">
        <v>1247300</v>
      </c>
      <c r="N175" s="46">
        <f t="shared" si="83"/>
        <v>-1245870.4</v>
      </c>
      <c r="O175" s="47">
        <f t="shared" si="84"/>
        <v>1429.6</v>
      </c>
      <c r="P175" s="47">
        <f t="shared" si="85"/>
        <v>1429.6</v>
      </c>
      <c r="Q175" s="212">
        <f t="shared" si="86"/>
        <v>1459.0862999999997</v>
      </c>
      <c r="R175" s="212">
        <f t="shared" si="80"/>
        <v>1.2942</v>
      </c>
      <c r="S175" s="212">
        <f t="shared" si="80"/>
        <v>-0.13539999999999985</v>
      </c>
    </row>
    <row r="176" spans="1:19" s="39" customFormat="1" ht="18" customHeight="1" hidden="1">
      <c r="A176" s="48" t="s">
        <v>117</v>
      </c>
      <c r="B176" s="49">
        <f t="shared" si="81"/>
        <v>110</v>
      </c>
      <c r="C176" s="49">
        <f t="shared" si="78"/>
        <v>19</v>
      </c>
      <c r="D176" s="49">
        <f t="shared" si="78"/>
        <v>23</v>
      </c>
      <c r="E176" s="49">
        <f t="shared" si="78"/>
        <v>68</v>
      </c>
      <c r="F176" s="49"/>
      <c r="G176" s="49"/>
      <c r="H176" s="49"/>
      <c r="I176" s="50">
        <f t="shared" si="79"/>
        <v>2115.7000000000003</v>
      </c>
      <c r="J176" s="212">
        <v>2518508.0600000005</v>
      </c>
      <c r="K176" s="43">
        <v>1699</v>
      </c>
      <c r="L176" s="44">
        <f t="shared" si="82"/>
        <v>-416.7000000000003</v>
      </c>
      <c r="M176" s="45">
        <v>1728900</v>
      </c>
      <c r="N176" s="46">
        <f t="shared" si="83"/>
        <v>-1726784.3</v>
      </c>
      <c r="O176" s="47">
        <f t="shared" si="84"/>
        <v>2115.7000000000003</v>
      </c>
      <c r="P176" s="47">
        <f t="shared" si="85"/>
        <v>2115.7000000000003</v>
      </c>
      <c r="Q176" s="212">
        <f t="shared" si="86"/>
        <v>2518.5080600000006</v>
      </c>
      <c r="R176" s="212">
        <f t="shared" si="80"/>
        <v>1.699</v>
      </c>
      <c r="S176" s="212">
        <f t="shared" si="80"/>
        <v>-0.4167000000000003</v>
      </c>
    </row>
    <row r="177" spans="1:19" s="39" customFormat="1" ht="18" customHeight="1" hidden="1">
      <c r="A177" s="48" t="s">
        <v>118</v>
      </c>
      <c r="B177" s="49">
        <f t="shared" si="81"/>
        <v>67</v>
      </c>
      <c r="C177" s="49">
        <f t="shared" si="78"/>
        <v>14</v>
      </c>
      <c r="D177" s="49">
        <f t="shared" si="78"/>
        <v>7</v>
      </c>
      <c r="E177" s="49">
        <f t="shared" si="78"/>
        <v>46</v>
      </c>
      <c r="F177" s="49"/>
      <c r="G177" s="49"/>
      <c r="H177" s="49"/>
      <c r="I177" s="50">
        <f t="shared" si="79"/>
        <v>1232.7</v>
      </c>
      <c r="J177" s="212">
        <v>1728486.08</v>
      </c>
      <c r="K177" s="43">
        <v>1146.9</v>
      </c>
      <c r="L177" s="44">
        <f t="shared" si="82"/>
        <v>-85.79999999999995</v>
      </c>
      <c r="M177" s="45">
        <v>1145500</v>
      </c>
      <c r="N177" s="46">
        <f t="shared" si="83"/>
        <v>-1144267.3</v>
      </c>
      <c r="O177" s="47">
        <f t="shared" si="84"/>
        <v>1232.7</v>
      </c>
      <c r="P177" s="47">
        <f t="shared" si="85"/>
        <v>1232.7</v>
      </c>
      <c r="Q177" s="212">
        <f t="shared" si="86"/>
        <v>1728.4860800000001</v>
      </c>
      <c r="R177" s="212">
        <f t="shared" si="80"/>
        <v>1.1469</v>
      </c>
      <c r="S177" s="212">
        <f t="shared" si="80"/>
        <v>-0.08579999999999996</v>
      </c>
    </row>
    <row r="178" spans="1:19" s="39" customFormat="1" ht="18" customHeight="1" hidden="1">
      <c r="A178" s="48" t="s">
        <v>119</v>
      </c>
      <c r="B178" s="49">
        <f t="shared" si="81"/>
        <v>109</v>
      </c>
      <c r="C178" s="49">
        <f t="shared" si="78"/>
        <v>34</v>
      </c>
      <c r="D178" s="49">
        <f t="shared" si="78"/>
        <v>25</v>
      </c>
      <c r="E178" s="49">
        <f t="shared" si="78"/>
        <v>50</v>
      </c>
      <c r="F178" s="49"/>
      <c r="G178" s="49"/>
      <c r="H178" s="49"/>
      <c r="I178" s="50">
        <f t="shared" si="79"/>
        <v>1999.1000000000001</v>
      </c>
      <c r="J178" s="212">
        <v>2609162.3600000003</v>
      </c>
      <c r="K178" s="43">
        <v>2273.1</v>
      </c>
      <c r="L178" s="44">
        <f t="shared" si="82"/>
        <v>273.9999999999998</v>
      </c>
      <c r="M178" s="45">
        <v>2225800</v>
      </c>
      <c r="N178" s="46">
        <f t="shared" si="83"/>
        <v>-2223800.9</v>
      </c>
      <c r="O178" s="47">
        <f t="shared" si="84"/>
        <v>1999.1000000000001</v>
      </c>
      <c r="P178" s="47">
        <f t="shared" si="85"/>
        <v>1999.1000000000001</v>
      </c>
      <c r="Q178" s="212">
        <f t="shared" si="86"/>
        <v>2609.1623600000003</v>
      </c>
      <c r="R178" s="212">
        <f t="shared" si="80"/>
        <v>2.2731</v>
      </c>
      <c r="S178" s="212">
        <f t="shared" si="80"/>
        <v>0.2739999999999998</v>
      </c>
    </row>
    <row r="179" spans="1:19" s="39" customFormat="1" ht="18" customHeight="1" hidden="1" thickBot="1">
      <c r="A179" s="51" t="s">
        <v>120</v>
      </c>
      <c r="B179" s="52">
        <f t="shared" si="81"/>
        <v>150</v>
      </c>
      <c r="C179" s="52">
        <f t="shared" si="78"/>
        <v>29</v>
      </c>
      <c r="D179" s="52">
        <f t="shared" si="78"/>
        <v>25</v>
      </c>
      <c r="E179" s="52">
        <f t="shared" si="78"/>
        <v>96</v>
      </c>
      <c r="F179" s="52"/>
      <c r="G179" s="52"/>
      <c r="H179" s="52"/>
      <c r="I179" s="53">
        <f t="shared" si="79"/>
        <v>2877.7</v>
      </c>
      <c r="J179" s="213">
        <v>3538680.1799999997</v>
      </c>
      <c r="K179" s="43">
        <v>2871.3</v>
      </c>
      <c r="L179" s="44">
        <f t="shared" si="82"/>
        <v>-6.399999999999636</v>
      </c>
      <c r="M179" s="45">
        <v>2619500</v>
      </c>
      <c r="N179" s="46">
        <f t="shared" si="83"/>
        <v>-2616622.3</v>
      </c>
      <c r="O179" s="47">
        <f t="shared" si="84"/>
        <v>2877.7</v>
      </c>
      <c r="P179" s="47">
        <f t="shared" si="85"/>
        <v>2877.7</v>
      </c>
      <c r="Q179" s="213">
        <f t="shared" si="86"/>
        <v>3538.68018</v>
      </c>
      <c r="R179" s="213">
        <f t="shared" si="80"/>
        <v>2.8713</v>
      </c>
      <c r="S179" s="213">
        <f t="shared" si="80"/>
        <v>-0.006399999999999636</v>
      </c>
    </row>
  </sheetData>
  <sheetProtection/>
  <mergeCells count="19">
    <mergeCell ref="R5:R6"/>
    <mergeCell ref="S5:S6"/>
    <mergeCell ref="A17:S17"/>
    <mergeCell ref="A2:S2"/>
    <mergeCell ref="A1:S1"/>
    <mergeCell ref="Q5:Q6"/>
    <mergeCell ref="H5:H6"/>
    <mergeCell ref="I5:I6"/>
    <mergeCell ref="J5:J6"/>
    <mergeCell ref="K5:K6"/>
    <mergeCell ref="P5:P6"/>
    <mergeCell ref="G5:G6"/>
    <mergeCell ref="A3:Q3"/>
    <mergeCell ref="L5:L6"/>
    <mergeCell ref="A5:A6"/>
    <mergeCell ref="B5:B6"/>
    <mergeCell ref="C5:E5"/>
    <mergeCell ref="F5:F6"/>
    <mergeCell ref="O5:O6"/>
  </mergeCells>
  <printOptions/>
  <pageMargins left="0.2362204724409449" right="0.1968503937007874" top="0.7480314960629921" bottom="0.35433070866141736" header="0.31496062992125984" footer="0.31496062992125984"/>
  <pageSetup fitToHeight="2" fitToWidth="1" horizontalDpi="600" verticalDpi="600" orientation="portrait" paperSize="9" scale="47" r:id="rId3"/>
  <rowBreaks count="2" manualBreakCount="2">
    <brk id="77" max="18" man="1"/>
    <brk id="106" max="18" man="1"/>
  </rowBreaks>
  <colBreaks count="3" manualBreakCount="3">
    <brk id="30" max="65535" man="1"/>
    <brk id="45" max="65535" man="1"/>
    <brk id="55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1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3.625" style="28" customWidth="1"/>
    <col min="2" max="2" width="20.125" style="28" customWidth="1"/>
    <col min="3" max="3" width="32.625" style="28" customWidth="1"/>
    <col min="4" max="4" width="13.875" style="28" customWidth="1"/>
    <col min="5" max="5" width="12.25390625" style="28" customWidth="1"/>
    <col min="6" max="6" width="14.875" style="28" customWidth="1"/>
    <col min="7" max="7" width="17.75390625" style="28" customWidth="1"/>
    <col min="8" max="16384" width="9.125" style="28" customWidth="1"/>
  </cols>
  <sheetData>
    <row r="1" spans="1:6" ht="15.75">
      <c r="A1" s="624" t="s">
        <v>107</v>
      </c>
      <c r="B1" s="624"/>
      <c r="C1" s="624"/>
      <c r="D1" s="624"/>
      <c r="E1" s="624"/>
      <c r="F1" s="624"/>
    </row>
    <row r="2" spans="1:6" ht="60.75" customHeight="1">
      <c r="A2" s="593" t="s">
        <v>491</v>
      </c>
      <c r="B2" s="593"/>
      <c r="C2" s="593"/>
      <c r="D2" s="593"/>
      <c r="E2" s="593"/>
      <c r="F2" s="593"/>
    </row>
    <row r="5" ht="15.75">
      <c r="F5" s="28" t="s">
        <v>30</v>
      </c>
    </row>
    <row r="6" spans="1:6" ht="33.75" customHeight="1">
      <c r="A6" s="625" t="s">
        <v>318</v>
      </c>
      <c r="B6" s="625" t="s">
        <v>492</v>
      </c>
      <c r="C6" s="625" t="s">
        <v>493</v>
      </c>
      <c r="D6" s="597" t="s">
        <v>494</v>
      </c>
      <c r="E6" s="597" t="s">
        <v>495</v>
      </c>
      <c r="F6" s="597" t="s">
        <v>496</v>
      </c>
    </row>
    <row r="7" spans="1:6" ht="90" customHeight="1">
      <c r="A7" s="625"/>
      <c r="B7" s="625"/>
      <c r="C7" s="625"/>
      <c r="D7" s="626"/>
      <c r="E7" s="626"/>
      <c r="F7" s="626"/>
    </row>
    <row r="8" spans="1:6" ht="15.75">
      <c r="A8" s="399">
        <v>1</v>
      </c>
      <c r="B8" s="399">
        <v>2</v>
      </c>
      <c r="C8" s="399">
        <v>3</v>
      </c>
      <c r="D8" s="400">
        <v>4</v>
      </c>
      <c r="E8" s="399">
        <v>5</v>
      </c>
      <c r="F8" s="400">
        <v>6</v>
      </c>
    </row>
    <row r="9" spans="1:6" ht="15.75">
      <c r="A9" s="65" t="s">
        <v>10</v>
      </c>
      <c r="B9" s="401">
        <v>11519.9</v>
      </c>
      <c r="C9" s="401">
        <v>2720</v>
      </c>
      <c r="D9" s="313">
        <f>B9-C9</f>
        <v>8799.9</v>
      </c>
      <c r="E9" s="313">
        <v>8799.9</v>
      </c>
      <c r="F9" s="400">
        <v>8799.9</v>
      </c>
    </row>
    <row r="10" spans="1:6" ht="15.75">
      <c r="A10" s="65" t="s">
        <v>12</v>
      </c>
      <c r="B10" s="401"/>
      <c r="C10" s="401"/>
      <c r="D10" s="313">
        <f>D9</f>
        <v>8799.9</v>
      </c>
      <c r="E10" s="313">
        <f>E9</f>
        <v>8799.9</v>
      </c>
      <c r="F10" s="313">
        <f>F9</f>
        <v>8799.9</v>
      </c>
    </row>
  </sheetData>
  <sheetProtection/>
  <mergeCells count="8">
    <mergeCell ref="A1:F1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zoomScalePageLayoutView="0" workbookViewId="0" topLeftCell="A4">
      <selection activeCell="F20" sqref="F20"/>
    </sheetView>
  </sheetViews>
  <sheetFormatPr defaultColWidth="9.00390625" defaultRowHeight="12.75"/>
  <cols>
    <col min="1" max="1" width="36.375" style="98" customWidth="1"/>
    <col min="2" max="2" width="13.375" style="98" hidden="1" customWidth="1"/>
    <col min="3" max="3" width="14.125" style="98" hidden="1" customWidth="1"/>
    <col min="4" max="4" width="12.625" style="98" hidden="1" customWidth="1"/>
    <col min="5" max="5" width="12.75390625" style="98" hidden="1" customWidth="1"/>
    <col min="6" max="6" width="18.125" style="98" customWidth="1"/>
    <col min="7" max="7" width="19.25390625" style="98" customWidth="1"/>
    <col min="8" max="8" width="17.375" style="98" customWidth="1"/>
    <col min="9" max="9" width="18.125" style="98" customWidth="1"/>
    <col min="10" max="10" width="19.25390625" style="98" customWidth="1"/>
    <col min="11" max="11" width="18.125" style="98" customWidth="1"/>
    <col min="12" max="12" width="9.125" style="98" hidden="1" customWidth="1"/>
    <col min="13" max="14" width="18.125" style="98" customWidth="1"/>
    <col min="15" max="16384" width="9.125" style="98" customWidth="1"/>
  </cols>
  <sheetData>
    <row r="1" spans="1:14" ht="15.75">
      <c r="A1" s="629" t="s">
        <v>107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14" ht="53.25" customHeight="1">
      <c r="A2" s="628" t="s">
        <v>380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</row>
    <row r="3" spans="1:12" ht="16.5" customHeight="1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99"/>
    </row>
    <row r="4" spans="1:14" s="12" customFormat="1" ht="17.25" customHeight="1">
      <c r="A4" s="92"/>
      <c r="B4" s="29"/>
      <c r="C4" s="30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</row>
    <row r="5" spans="6:14" s="12" customFormat="1" ht="15.75">
      <c r="F5" s="11"/>
      <c r="G5" s="11"/>
      <c r="H5" s="11"/>
      <c r="I5" s="11"/>
      <c r="J5" s="11"/>
      <c r="K5" s="100"/>
      <c r="M5" s="100"/>
      <c r="N5" s="100" t="s">
        <v>30</v>
      </c>
    </row>
    <row r="6" spans="1:14" s="12" customFormat="1" ht="42" customHeight="1">
      <c r="A6" s="627" t="s">
        <v>304</v>
      </c>
      <c r="B6" s="101"/>
      <c r="C6" s="101"/>
      <c r="D6" s="101"/>
      <c r="E6" s="101"/>
      <c r="F6" s="627" t="s">
        <v>222</v>
      </c>
      <c r="G6" s="627"/>
      <c r="H6" s="627"/>
      <c r="I6" s="627"/>
      <c r="J6" s="627"/>
      <c r="K6" s="627"/>
      <c r="L6" s="627"/>
      <c r="M6" s="627"/>
      <c r="N6" s="627"/>
    </row>
    <row r="7" spans="1:14" s="12" customFormat="1" ht="132" customHeight="1">
      <c r="A7" s="627"/>
      <c r="B7" s="101"/>
      <c r="C7" s="101"/>
      <c r="D7" s="101"/>
      <c r="E7" s="101"/>
      <c r="F7" s="91" t="s">
        <v>145</v>
      </c>
      <c r="G7" s="91" t="s">
        <v>146</v>
      </c>
      <c r="H7" s="91" t="s">
        <v>219</v>
      </c>
      <c r="I7" s="91" t="s">
        <v>221</v>
      </c>
      <c r="J7" s="102" t="s">
        <v>220</v>
      </c>
      <c r="K7" s="91" t="s">
        <v>297</v>
      </c>
      <c r="L7" s="101"/>
      <c r="M7" s="91" t="s">
        <v>298</v>
      </c>
      <c r="N7" s="91" t="s">
        <v>327</v>
      </c>
    </row>
    <row r="8" spans="1:14" s="12" customFormat="1" ht="15.75">
      <c r="A8" s="103" t="s">
        <v>14</v>
      </c>
      <c r="B8" s="101"/>
      <c r="C8" s="101"/>
      <c r="D8" s="101"/>
      <c r="E8" s="101"/>
      <c r="F8" s="104">
        <v>5480.8</v>
      </c>
      <c r="G8" s="104">
        <v>5374.8</v>
      </c>
      <c r="H8" s="104">
        <v>1</v>
      </c>
      <c r="I8" s="104">
        <v>5490.5</v>
      </c>
      <c r="J8" s="104">
        <v>9.7</v>
      </c>
      <c r="K8" s="105">
        <v>5373.8</v>
      </c>
      <c r="L8" s="101"/>
      <c r="M8" s="105">
        <v>5373.8</v>
      </c>
      <c r="N8" s="105">
        <v>5373.8</v>
      </c>
    </row>
    <row r="9" spans="1:14" s="12" customFormat="1" ht="15.75">
      <c r="A9" s="87" t="s">
        <v>113</v>
      </c>
      <c r="B9" s="101"/>
      <c r="C9" s="101"/>
      <c r="D9" s="101"/>
      <c r="E9" s="101"/>
      <c r="F9" s="104"/>
      <c r="G9" s="104"/>
      <c r="H9" s="104"/>
      <c r="I9" s="104"/>
      <c r="J9" s="104"/>
      <c r="K9" s="105"/>
      <c r="L9" s="101"/>
      <c r="M9" s="105"/>
      <c r="N9" s="105"/>
    </row>
    <row r="10" spans="1:14" s="12" customFormat="1" ht="15.75">
      <c r="A10" s="87" t="s">
        <v>109</v>
      </c>
      <c r="B10" s="101"/>
      <c r="C10" s="101"/>
      <c r="D10" s="101"/>
      <c r="E10" s="101"/>
      <c r="F10" s="104"/>
      <c r="G10" s="104"/>
      <c r="H10" s="104"/>
      <c r="I10" s="104"/>
      <c r="J10" s="104"/>
      <c r="K10" s="105"/>
      <c r="L10" s="101"/>
      <c r="M10" s="105"/>
      <c r="N10" s="105"/>
    </row>
    <row r="11" spans="1:14" s="12" customFormat="1" ht="15.75">
      <c r="A11" s="87" t="s">
        <v>116</v>
      </c>
      <c r="B11" s="101"/>
      <c r="C11" s="101"/>
      <c r="D11" s="101"/>
      <c r="E11" s="101"/>
      <c r="F11" s="104"/>
      <c r="G11" s="104"/>
      <c r="H11" s="104"/>
      <c r="I11" s="104"/>
      <c r="J11" s="104"/>
      <c r="K11" s="105"/>
      <c r="L11" s="101"/>
      <c r="M11" s="105"/>
      <c r="N11" s="105"/>
    </row>
    <row r="12" spans="1:14" s="12" customFormat="1" ht="15.75">
      <c r="A12" s="87" t="s">
        <v>112</v>
      </c>
      <c r="B12" s="101"/>
      <c r="C12" s="101"/>
      <c r="D12" s="101"/>
      <c r="E12" s="101"/>
      <c r="F12" s="104">
        <v>5480.8</v>
      </c>
      <c r="G12" s="104">
        <v>51.9</v>
      </c>
      <c r="H12" s="104">
        <v>2.9</v>
      </c>
      <c r="I12" s="104">
        <v>5490.5</v>
      </c>
      <c r="J12" s="104">
        <v>9.7</v>
      </c>
      <c r="K12" s="105">
        <v>49</v>
      </c>
      <c r="L12" s="101"/>
      <c r="M12" s="105">
        <v>49</v>
      </c>
      <c r="N12" s="105">
        <v>49</v>
      </c>
    </row>
    <row r="13" spans="1:14" s="12" customFormat="1" ht="15.75">
      <c r="A13" s="87" t="s">
        <v>117</v>
      </c>
      <c r="B13" s="101"/>
      <c r="C13" s="101"/>
      <c r="D13" s="101"/>
      <c r="E13" s="101"/>
      <c r="F13" s="104"/>
      <c r="G13" s="104"/>
      <c r="H13" s="104"/>
      <c r="I13" s="104"/>
      <c r="J13" s="104"/>
      <c r="K13" s="105"/>
      <c r="L13" s="101"/>
      <c r="M13" s="105"/>
      <c r="N13" s="105"/>
    </row>
    <row r="14" spans="1:14" s="12" customFormat="1" ht="15.75">
      <c r="A14" s="87" t="s">
        <v>118</v>
      </c>
      <c r="B14" s="101"/>
      <c r="C14" s="101"/>
      <c r="D14" s="101"/>
      <c r="E14" s="101"/>
      <c r="F14" s="104"/>
      <c r="G14" s="104"/>
      <c r="H14" s="104"/>
      <c r="I14" s="104"/>
      <c r="J14" s="104"/>
      <c r="K14" s="105"/>
      <c r="L14" s="101"/>
      <c r="M14" s="105"/>
      <c r="N14" s="105"/>
    </row>
    <row r="15" spans="1:14" s="12" customFormat="1" ht="15.75">
      <c r="A15" s="87" t="s">
        <v>119</v>
      </c>
      <c r="B15" s="101"/>
      <c r="C15" s="101"/>
      <c r="D15" s="101"/>
      <c r="E15" s="101"/>
      <c r="F15" s="104">
        <v>5480.8</v>
      </c>
      <c r="G15" s="104">
        <v>63.8</v>
      </c>
      <c r="H15" s="104">
        <v>5.8</v>
      </c>
      <c r="I15" s="104">
        <v>5490.5</v>
      </c>
      <c r="J15" s="104">
        <v>9.7</v>
      </c>
      <c r="K15" s="105">
        <v>58</v>
      </c>
      <c r="L15" s="101"/>
      <c r="M15" s="105">
        <v>58</v>
      </c>
      <c r="N15" s="105">
        <v>58</v>
      </c>
    </row>
    <row r="16" spans="1:14" s="12" customFormat="1" ht="15.75">
      <c r="A16" s="87" t="s">
        <v>120</v>
      </c>
      <c r="B16" s="101"/>
      <c r="C16" s="101"/>
      <c r="D16" s="101"/>
      <c r="E16" s="101"/>
      <c r="F16" s="104"/>
      <c r="G16" s="104"/>
      <c r="H16" s="104"/>
      <c r="I16" s="104"/>
      <c r="J16" s="104"/>
      <c r="K16" s="105"/>
      <c r="L16" s="101"/>
      <c r="M16" s="105"/>
      <c r="N16" s="105"/>
    </row>
    <row r="17" spans="1:14" s="12" customFormat="1" ht="18.75" customHeight="1">
      <c r="A17" s="106" t="s">
        <v>12</v>
      </c>
      <c r="B17" s="101"/>
      <c r="C17" s="101"/>
      <c r="D17" s="101"/>
      <c r="E17" s="101"/>
      <c r="F17" s="104">
        <v>5480.8</v>
      </c>
      <c r="G17" s="104">
        <v>8629.2</v>
      </c>
      <c r="H17" s="104">
        <v>9.7</v>
      </c>
      <c r="I17" s="104">
        <v>8629.2</v>
      </c>
      <c r="J17" s="104">
        <v>9.7</v>
      </c>
      <c r="K17" s="107">
        <f>SUM(K8:K16)</f>
        <v>5480.8</v>
      </c>
      <c r="L17" s="101"/>
      <c r="M17" s="107">
        <f>SUM(M8:M16)</f>
        <v>5480.8</v>
      </c>
      <c r="N17" s="107">
        <f>SUM(N8:N16)</f>
        <v>5480.8</v>
      </c>
    </row>
    <row r="18" spans="1:14" s="12" customFormat="1" ht="15.75">
      <c r="A18" s="92"/>
      <c r="F18" s="93"/>
      <c r="G18" s="94"/>
      <c r="H18" s="95"/>
      <c r="I18" s="94"/>
      <c r="J18" s="95"/>
      <c r="K18" s="96"/>
      <c r="M18" s="96"/>
      <c r="N18" s="96"/>
    </row>
    <row r="19" spans="11:14" ht="15.75">
      <c r="K19" s="100"/>
      <c r="M19" s="100"/>
      <c r="N19" s="100"/>
    </row>
  </sheetData>
  <sheetProtection/>
  <mergeCells count="5">
    <mergeCell ref="F6:N6"/>
    <mergeCell ref="A2:N2"/>
    <mergeCell ref="A1:N1"/>
    <mergeCell ref="A3:K3"/>
    <mergeCell ref="A6:A7"/>
  </mergeCells>
  <printOptions horizontalCentered="1"/>
  <pageMargins left="0.5511811023622047" right="0.2755905511811024" top="0.7480314960629921" bottom="0.2755905511811024" header="0.31496062992125984" footer="0.31496062992125984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74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0.00390625" style="28" customWidth="1"/>
    <col min="2" max="2" width="13.125" style="28" customWidth="1"/>
    <col min="3" max="3" width="12.00390625" style="28" customWidth="1"/>
    <col min="4" max="4" width="11.875" style="28" customWidth="1"/>
    <col min="5" max="5" width="12.25390625" style="28" customWidth="1"/>
    <col min="6" max="6" width="12.75390625" style="28" customWidth="1"/>
    <col min="7" max="7" width="11.00390625" style="28" bestFit="1" customWidth="1"/>
    <col min="8" max="8" width="11.125" style="28" customWidth="1"/>
    <col min="9" max="9" width="12.25390625" style="28" customWidth="1"/>
    <col min="10" max="10" width="10.375" style="28" customWidth="1"/>
    <col min="11" max="11" width="11.875" style="28" customWidth="1"/>
    <col min="12" max="12" width="8.625" style="28" hidden="1" customWidth="1"/>
    <col min="13" max="13" width="9.125" style="28" customWidth="1"/>
    <col min="14" max="14" width="13.125" style="28" customWidth="1"/>
    <col min="15" max="16384" width="9.125" style="28" customWidth="1"/>
  </cols>
  <sheetData>
    <row r="1" spans="1:11" ht="15.75">
      <c r="A1" s="624" t="s">
        <v>107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2" ht="79.5" customHeight="1">
      <c r="A2" s="631" t="s">
        <v>550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02"/>
    </row>
    <row r="3" ht="15.75">
      <c r="K3" s="403" t="s">
        <v>406</v>
      </c>
    </row>
    <row r="4" spans="1:12" ht="63">
      <c r="A4" s="73" t="s">
        <v>3</v>
      </c>
      <c r="B4" s="73" t="s">
        <v>497</v>
      </c>
      <c r="C4" s="73" t="s">
        <v>533</v>
      </c>
      <c r="D4" s="73" t="s">
        <v>113</v>
      </c>
      <c r="E4" s="73" t="s">
        <v>119</v>
      </c>
      <c r="F4" s="73" t="s">
        <v>118</v>
      </c>
      <c r="G4" s="73" t="s">
        <v>112</v>
      </c>
      <c r="H4" s="73" t="s">
        <v>109</v>
      </c>
      <c r="I4" s="73" t="s">
        <v>117</v>
      </c>
      <c r="J4" s="73" t="s">
        <v>116</v>
      </c>
      <c r="K4" s="73" t="s">
        <v>120</v>
      </c>
      <c r="L4" s="73" t="s">
        <v>412</v>
      </c>
    </row>
    <row r="5" spans="1:12" s="326" customFormat="1" ht="16.5" customHeight="1">
      <c r="A5" s="404" t="s">
        <v>530</v>
      </c>
      <c r="B5" s="405">
        <f>SUM(C5:K5)</f>
        <v>17088</v>
      </c>
      <c r="C5" s="405">
        <v>7024</v>
      </c>
      <c r="D5" s="405">
        <v>1746</v>
      </c>
      <c r="E5" s="405">
        <v>1367</v>
      </c>
      <c r="F5" s="405">
        <v>1367</v>
      </c>
      <c r="G5" s="405">
        <v>935</v>
      </c>
      <c r="H5" s="405">
        <v>893</v>
      </c>
      <c r="I5" s="405">
        <v>1541</v>
      </c>
      <c r="J5" s="405">
        <v>169</v>
      </c>
      <c r="K5" s="405">
        <v>2046</v>
      </c>
      <c r="L5" s="404"/>
    </row>
    <row r="6" spans="1:12" s="326" customFormat="1" ht="17.25" customHeight="1">
      <c r="A6" s="406" t="s">
        <v>531</v>
      </c>
      <c r="B6" s="429">
        <f>SUM(C6:K6)</f>
        <v>10907.184707999997</v>
      </c>
      <c r="C6" s="407">
        <f aca="true" t="shared" si="0" ref="C6:K6">C20+C33+C47+C60</f>
        <v>3054.9732191999997</v>
      </c>
      <c r="D6" s="407">
        <f t="shared" si="0"/>
        <v>1080.3558527999999</v>
      </c>
      <c r="E6" s="407">
        <f t="shared" si="0"/>
        <v>1080.3558527999999</v>
      </c>
      <c r="F6" s="407">
        <f t="shared" si="0"/>
        <v>1833.9638688</v>
      </c>
      <c r="G6" s="407">
        <f t="shared" si="0"/>
        <v>540.1779263999999</v>
      </c>
      <c r="H6" s="407">
        <f t="shared" si="0"/>
        <v>540.1779263999999</v>
      </c>
      <c r="I6" s="407">
        <f t="shared" si="0"/>
        <v>1080.3558527999999</v>
      </c>
      <c r="J6" s="407">
        <f t="shared" si="0"/>
        <v>616.4683560000001</v>
      </c>
      <c r="K6" s="407">
        <f t="shared" si="0"/>
        <v>1080.3558527999999</v>
      </c>
      <c r="L6" s="406"/>
    </row>
    <row r="7" spans="1:12" s="326" customFormat="1" ht="17.25" customHeight="1">
      <c r="A7" s="406" t="s">
        <v>498</v>
      </c>
      <c r="B7" s="407">
        <f>SUM(C7:K7)</f>
        <v>10.5</v>
      </c>
      <c r="C7" s="407">
        <f>C9+C22</f>
        <v>3</v>
      </c>
      <c r="D7" s="407">
        <f>D9+D22</f>
        <v>1</v>
      </c>
      <c r="E7" s="407">
        <v>1</v>
      </c>
      <c r="F7" s="407">
        <v>2</v>
      </c>
      <c r="G7" s="407">
        <v>0.5</v>
      </c>
      <c r="H7" s="407">
        <v>0.5</v>
      </c>
      <c r="I7" s="407">
        <v>1</v>
      </c>
      <c r="J7" s="407">
        <f>J9+J22</f>
        <v>0.5</v>
      </c>
      <c r="K7" s="407">
        <f>K9+K22</f>
        <v>1</v>
      </c>
      <c r="L7" s="406"/>
    </row>
    <row r="8" spans="1:12" s="326" customFormat="1" ht="16.5" thickBot="1">
      <c r="A8" s="408" t="s">
        <v>499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6"/>
    </row>
    <row r="9" spans="1:12" s="413" customFormat="1" ht="31.5">
      <c r="A9" s="430" t="s">
        <v>500</v>
      </c>
      <c r="B9" s="410">
        <f>SUM(C9:K9)</f>
        <v>7.5</v>
      </c>
      <c r="C9" s="410">
        <v>1</v>
      </c>
      <c r="D9" s="410">
        <v>1</v>
      </c>
      <c r="E9" s="410">
        <v>1</v>
      </c>
      <c r="F9" s="410">
        <v>1</v>
      </c>
      <c r="G9" s="410">
        <v>0.5</v>
      </c>
      <c r="H9" s="410">
        <v>0.5</v>
      </c>
      <c r="I9" s="410">
        <v>1</v>
      </c>
      <c r="J9" s="410">
        <v>0.5</v>
      </c>
      <c r="K9" s="411">
        <v>1</v>
      </c>
      <c r="L9" s="412"/>
    </row>
    <row r="10" spans="1:12" s="326" customFormat="1" ht="15.75">
      <c r="A10" s="414" t="s">
        <v>532</v>
      </c>
      <c r="B10" s="407"/>
      <c r="C10" s="407">
        <v>6.0152</v>
      </c>
      <c r="D10" s="407">
        <v>6.0152</v>
      </c>
      <c r="E10" s="407">
        <v>6.0152</v>
      </c>
      <c r="F10" s="407">
        <v>6.0152</v>
      </c>
      <c r="G10" s="407">
        <v>6.0152</v>
      </c>
      <c r="H10" s="407">
        <v>6.0152</v>
      </c>
      <c r="I10" s="407">
        <v>6.0152</v>
      </c>
      <c r="J10" s="407">
        <v>6.903</v>
      </c>
      <c r="K10" s="407">
        <v>6.0152</v>
      </c>
      <c r="L10" s="407"/>
    </row>
    <row r="11" spans="1:12" s="326" customFormat="1" ht="31.5">
      <c r="A11" s="414" t="s">
        <v>501</v>
      </c>
      <c r="B11" s="407"/>
      <c r="C11" s="415">
        <f aca="true" t="shared" si="1" ref="C11:K11">C10*0.6</f>
        <v>3.60912</v>
      </c>
      <c r="D11" s="415">
        <f t="shared" si="1"/>
        <v>3.60912</v>
      </c>
      <c r="E11" s="415">
        <f t="shared" si="1"/>
        <v>3.60912</v>
      </c>
      <c r="F11" s="415">
        <f t="shared" si="1"/>
        <v>3.60912</v>
      </c>
      <c r="G11" s="415">
        <f t="shared" si="1"/>
        <v>3.60912</v>
      </c>
      <c r="H11" s="415">
        <f t="shared" si="1"/>
        <v>3.60912</v>
      </c>
      <c r="I11" s="415">
        <f t="shared" si="1"/>
        <v>3.60912</v>
      </c>
      <c r="J11" s="415">
        <f t="shared" si="1"/>
        <v>4.1418</v>
      </c>
      <c r="K11" s="415">
        <f t="shared" si="1"/>
        <v>3.60912</v>
      </c>
      <c r="L11" s="416"/>
    </row>
    <row r="12" spans="1:12" s="326" customFormat="1" ht="15.75">
      <c r="A12" s="414" t="s">
        <v>502</v>
      </c>
      <c r="B12" s="407"/>
      <c r="C12" s="407">
        <f aca="true" t="shared" si="2" ref="C12:K12">C10*0.3</f>
        <v>1.80456</v>
      </c>
      <c r="D12" s="407">
        <f t="shared" si="2"/>
        <v>1.80456</v>
      </c>
      <c r="E12" s="407">
        <f t="shared" si="2"/>
        <v>1.80456</v>
      </c>
      <c r="F12" s="407">
        <f t="shared" si="2"/>
        <v>1.80456</v>
      </c>
      <c r="G12" s="407">
        <f t="shared" si="2"/>
        <v>1.80456</v>
      </c>
      <c r="H12" s="407">
        <f t="shared" si="2"/>
        <v>1.80456</v>
      </c>
      <c r="I12" s="407">
        <f t="shared" si="2"/>
        <v>1.80456</v>
      </c>
      <c r="J12" s="407">
        <f t="shared" si="2"/>
        <v>2.0709</v>
      </c>
      <c r="K12" s="407">
        <f t="shared" si="2"/>
        <v>1.80456</v>
      </c>
      <c r="L12" s="416"/>
    </row>
    <row r="13" spans="1:12" s="326" customFormat="1" ht="14.25" customHeight="1">
      <c r="A13" s="414" t="s">
        <v>503</v>
      </c>
      <c r="B13" s="407"/>
      <c r="C13" s="415">
        <v>1.192</v>
      </c>
      <c r="D13" s="415">
        <v>1.192</v>
      </c>
      <c r="E13" s="415">
        <v>1.192</v>
      </c>
      <c r="F13" s="415">
        <v>1.192</v>
      </c>
      <c r="G13" s="415">
        <v>1.192</v>
      </c>
      <c r="H13" s="415">
        <v>1.192</v>
      </c>
      <c r="I13" s="415">
        <v>1.192</v>
      </c>
      <c r="J13" s="415">
        <v>1.192</v>
      </c>
      <c r="K13" s="415">
        <v>1.192</v>
      </c>
      <c r="L13" s="417"/>
    </row>
    <row r="14" spans="1:12" s="326" customFormat="1" ht="15.75">
      <c r="A14" s="414" t="s">
        <v>504</v>
      </c>
      <c r="B14" s="407"/>
      <c r="C14" s="415">
        <f aca="true" t="shared" si="3" ref="C14:K14">C10*2</f>
        <v>12.0304</v>
      </c>
      <c r="D14" s="415">
        <f t="shared" si="3"/>
        <v>12.0304</v>
      </c>
      <c r="E14" s="415">
        <f t="shared" si="3"/>
        <v>12.0304</v>
      </c>
      <c r="F14" s="415">
        <f t="shared" si="3"/>
        <v>12.0304</v>
      </c>
      <c r="G14" s="415">
        <f t="shared" si="3"/>
        <v>12.0304</v>
      </c>
      <c r="H14" s="415">
        <f t="shared" si="3"/>
        <v>12.0304</v>
      </c>
      <c r="I14" s="415">
        <f t="shared" si="3"/>
        <v>12.0304</v>
      </c>
      <c r="J14" s="415">
        <f t="shared" si="3"/>
        <v>13.806</v>
      </c>
      <c r="K14" s="415">
        <f t="shared" si="3"/>
        <v>12.0304</v>
      </c>
      <c r="L14" s="416"/>
    </row>
    <row r="15" spans="1:12" s="326" customFormat="1" ht="15.75">
      <c r="A15" s="414" t="s">
        <v>505</v>
      </c>
      <c r="B15" s="407"/>
      <c r="C15" s="415">
        <f aca="true" t="shared" si="4" ref="C15:K15">C10*0.25</f>
        <v>1.5038</v>
      </c>
      <c r="D15" s="415">
        <f t="shared" si="4"/>
        <v>1.5038</v>
      </c>
      <c r="E15" s="415">
        <f t="shared" si="4"/>
        <v>1.5038</v>
      </c>
      <c r="F15" s="415">
        <f t="shared" si="4"/>
        <v>1.5038</v>
      </c>
      <c r="G15" s="415">
        <f t="shared" si="4"/>
        <v>1.5038</v>
      </c>
      <c r="H15" s="415">
        <f t="shared" si="4"/>
        <v>1.5038</v>
      </c>
      <c r="I15" s="415">
        <f t="shared" si="4"/>
        <v>1.5038</v>
      </c>
      <c r="J15" s="415">
        <f t="shared" si="4"/>
        <v>1.72575</v>
      </c>
      <c r="K15" s="415">
        <f t="shared" si="4"/>
        <v>1.5038</v>
      </c>
      <c r="L15" s="416"/>
    </row>
    <row r="16" spans="1:12" s="326" customFormat="1" ht="47.25">
      <c r="A16" s="414" t="s">
        <v>506</v>
      </c>
      <c r="B16" s="407"/>
      <c r="C16" s="415">
        <f aca="true" t="shared" si="5" ref="C16:K16">C10*0.25</f>
        <v>1.5038</v>
      </c>
      <c r="D16" s="415">
        <f t="shared" si="5"/>
        <v>1.5038</v>
      </c>
      <c r="E16" s="415">
        <f t="shared" si="5"/>
        <v>1.5038</v>
      </c>
      <c r="F16" s="415">
        <f t="shared" si="5"/>
        <v>1.5038</v>
      </c>
      <c r="G16" s="415">
        <f t="shared" si="5"/>
        <v>1.5038</v>
      </c>
      <c r="H16" s="415">
        <f t="shared" si="5"/>
        <v>1.5038</v>
      </c>
      <c r="I16" s="415">
        <f t="shared" si="5"/>
        <v>1.5038</v>
      </c>
      <c r="J16" s="415">
        <f t="shared" si="5"/>
        <v>1.72575</v>
      </c>
      <c r="K16" s="415">
        <f t="shared" si="5"/>
        <v>1.5038</v>
      </c>
      <c r="L16" s="416"/>
    </row>
    <row r="17" spans="1:12" s="326" customFormat="1" ht="15.75">
      <c r="A17" s="414" t="s">
        <v>507</v>
      </c>
      <c r="B17" s="407"/>
      <c r="C17" s="415">
        <f aca="true" t="shared" si="6" ref="C17:K17">(C10+C11+C12+C13+C14+C15+C16)*0.7</f>
        <v>19.361215999999995</v>
      </c>
      <c r="D17" s="415">
        <f t="shared" si="6"/>
        <v>19.361215999999995</v>
      </c>
      <c r="E17" s="415">
        <f t="shared" si="6"/>
        <v>19.361215999999995</v>
      </c>
      <c r="F17" s="415">
        <f t="shared" si="6"/>
        <v>19.361215999999995</v>
      </c>
      <c r="G17" s="415">
        <f t="shared" si="6"/>
        <v>19.361215999999995</v>
      </c>
      <c r="H17" s="415">
        <f t="shared" si="6"/>
        <v>19.361215999999995</v>
      </c>
      <c r="I17" s="415">
        <f t="shared" si="6"/>
        <v>19.361215999999995</v>
      </c>
      <c r="J17" s="415">
        <f t="shared" si="6"/>
        <v>22.09564</v>
      </c>
      <c r="K17" s="415">
        <f t="shared" si="6"/>
        <v>19.361215999999995</v>
      </c>
      <c r="L17" s="416"/>
    </row>
    <row r="18" spans="1:12" s="326" customFormat="1" ht="15.75">
      <c r="A18" s="414" t="s">
        <v>508</v>
      </c>
      <c r="B18" s="407"/>
      <c r="C18" s="415">
        <f aca="true" t="shared" si="7" ref="C18:K18">(C10+C11+C12+C13+C14+C15+C16)*0.8</f>
        <v>22.127104</v>
      </c>
      <c r="D18" s="415">
        <f t="shared" si="7"/>
        <v>22.127104</v>
      </c>
      <c r="E18" s="415">
        <f t="shared" si="7"/>
        <v>22.127104</v>
      </c>
      <c r="F18" s="415">
        <f t="shared" si="7"/>
        <v>22.127104</v>
      </c>
      <c r="G18" s="415">
        <f t="shared" si="7"/>
        <v>22.127104</v>
      </c>
      <c r="H18" s="415">
        <f t="shared" si="7"/>
        <v>22.127104</v>
      </c>
      <c r="I18" s="415">
        <f t="shared" si="7"/>
        <v>22.127104</v>
      </c>
      <c r="J18" s="415">
        <f t="shared" si="7"/>
        <v>25.252160000000003</v>
      </c>
      <c r="K18" s="415">
        <f t="shared" si="7"/>
        <v>22.127104</v>
      </c>
      <c r="L18" s="417"/>
    </row>
    <row r="19" spans="1:12" s="326" customFormat="1" ht="16.5" thickBot="1">
      <c r="A19" s="418" t="s">
        <v>509</v>
      </c>
      <c r="B19" s="409"/>
      <c r="C19" s="409">
        <f aca="true" t="shared" si="8" ref="C19:K19">(SUM(C10:C18)*C9*12)*0.302</f>
        <v>250.58945279999998</v>
      </c>
      <c r="D19" s="409">
        <f t="shared" si="8"/>
        <v>250.58945279999998</v>
      </c>
      <c r="E19" s="409">
        <f t="shared" si="8"/>
        <v>250.58945279999998</v>
      </c>
      <c r="F19" s="409">
        <f t="shared" si="8"/>
        <v>250.58945279999998</v>
      </c>
      <c r="G19" s="409">
        <f t="shared" si="8"/>
        <v>125.29472639999999</v>
      </c>
      <c r="H19" s="409">
        <f t="shared" si="8"/>
        <v>125.29472639999999</v>
      </c>
      <c r="I19" s="409">
        <f t="shared" si="8"/>
        <v>250.58945279999998</v>
      </c>
      <c r="J19" s="409">
        <f t="shared" si="8"/>
        <v>142.99035600000002</v>
      </c>
      <c r="K19" s="409">
        <f t="shared" si="8"/>
        <v>250.58945279999998</v>
      </c>
      <c r="L19" s="417"/>
    </row>
    <row r="20" spans="1:12" s="326" customFormat="1" ht="16.5" thickBot="1">
      <c r="A20" s="431" t="s">
        <v>510</v>
      </c>
      <c r="B20" s="432">
        <v>8179.3</v>
      </c>
      <c r="C20" s="432">
        <f aca="true" t="shared" si="9" ref="C20:K20">(SUM(C10:C18)*C9*12)+C19</f>
        <v>1080.3558527999999</v>
      </c>
      <c r="D20" s="432">
        <f t="shared" si="9"/>
        <v>1080.3558527999999</v>
      </c>
      <c r="E20" s="432">
        <f t="shared" si="9"/>
        <v>1080.3558527999999</v>
      </c>
      <c r="F20" s="432">
        <f t="shared" si="9"/>
        <v>1080.3558527999999</v>
      </c>
      <c r="G20" s="432">
        <f t="shared" si="9"/>
        <v>540.1779263999999</v>
      </c>
      <c r="H20" s="432">
        <f t="shared" si="9"/>
        <v>540.1779263999999</v>
      </c>
      <c r="I20" s="432">
        <f t="shared" si="9"/>
        <v>1080.3558527999999</v>
      </c>
      <c r="J20" s="432">
        <f t="shared" si="9"/>
        <v>616.4683560000001</v>
      </c>
      <c r="K20" s="432">
        <f t="shared" si="9"/>
        <v>1080.3558527999999</v>
      </c>
      <c r="L20" s="416"/>
    </row>
    <row r="21" spans="1:12" s="326" customFormat="1" ht="16.5" customHeight="1" thickBot="1">
      <c r="A21" s="419"/>
      <c r="B21" s="433"/>
      <c r="C21" s="420"/>
      <c r="D21" s="420"/>
      <c r="E21" s="420"/>
      <c r="F21" s="420"/>
      <c r="G21" s="420"/>
      <c r="H21" s="420"/>
      <c r="I21" s="420"/>
      <c r="J21" s="420"/>
      <c r="K21" s="420"/>
      <c r="L21" s="406"/>
    </row>
    <row r="22" spans="1:12" s="413" customFormat="1" ht="31.5">
      <c r="A22" s="434" t="s">
        <v>511</v>
      </c>
      <c r="B22" s="410">
        <f>SUM(C22:K22)</f>
        <v>3</v>
      </c>
      <c r="C22" s="410">
        <v>2</v>
      </c>
      <c r="D22" s="410">
        <v>0</v>
      </c>
      <c r="E22" s="410">
        <v>0</v>
      </c>
      <c r="F22" s="410">
        <v>1</v>
      </c>
      <c r="G22" s="410">
        <v>0</v>
      </c>
      <c r="H22" s="410">
        <v>0</v>
      </c>
      <c r="I22" s="410">
        <v>0</v>
      </c>
      <c r="J22" s="410">
        <v>0</v>
      </c>
      <c r="K22" s="411">
        <v>0</v>
      </c>
      <c r="L22" s="412"/>
    </row>
    <row r="23" spans="1:12" s="326" customFormat="1" ht="15.75">
      <c r="A23" s="414" t="s">
        <v>512</v>
      </c>
      <c r="B23" s="407"/>
      <c r="C23" s="407">
        <v>5.4738</v>
      </c>
      <c r="D23" s="407"/>
      <c r="E23" s="407"/>
      <c r="F23" s="407">
        <v>4.114</v>
      </c>
      <c r="G23" s="407"/>
      <c r="H23" s="407"/>
      <c r="I23" s="407"/>
      <c r="J23" s="407"/>
      <c r="K23" s="407"/>
      <c r="L23" s="416"/>
    </row>
    <row r="24" spans="1:12" s="326" customFormat="1" ht="31.5">
      <c r="A24" s="414" t="s">
        <v>513</v>
      </c>
      <c r="B24" s="407"/>
      <c r="C24" s="415">
        <f>C23*0.6</f>
        <v>3.28428</v>
      </c>
      <c r="D24" s="415"/>
      <c r="E24" s="415"/>
      <c r="F24" s="415">
        <f>F23*0.6</f>
        <v>2.4684</v>
      </c>
      <c r="G24" s="415"/>
      <c r="H24" s="415"/>
      <c r="I24" s="415"/>
      <c r="J24" s="415"/>
      <c r="K24" s="421"/>
      <c r="L24" s="416"/>
    </row>
    <row r="25" spans="1:12" s="326" customFormat="1" ht="15.75">
      <c r="A25" s="414" t="s">
        <v>502</v>
      </c>
      <c r="B25" s="407"/>
      <c r="C25" s="407">
        <f>C23*0.3</f>
        <v>1.64214</v>
      </c>
      <c r="D25" s="407"/>
      <c r="E25" s="407"/>
      <c r="F25" s="407">
        <f>F23*0.3</f>
        <v>1.2342</v>
      </c>
      <c r="G25" s="407"/>
      <c r="H25" s="407"/>
      <c r="I25" s="407"/>
      <c r="J25" s="407"/>
      <c r="K25" s="422"/>
      <c r="L25" s="416"/>
    </row>
    <row r="26" spans="1:12" s="326" customFormat="1" ht="14.25" customHeight="1">
      <c r="A26" s="414" t="s">
        <v>503</v>
      </c>
      <c r="B26" s="407"/>
      <c r="C26" s="415">
        <v>1.192</v>
      </c>
      <c r="D26" s="415"/>
      <c r="E26" s="415"/>
      <c r="F26" s="415">
        <v>1.192</v>
      </c>
      <c r="G26" s="415"/>
      <c r="H26" s="415"/>
      <c r="I26" s="415"/>
      <c r="J26" s="415"/>
      <c r="K26" s="421"/>
      <c r="L26" s="417"/>
    </row>
    <row r="27" spans="1:12" s="326" customFormat="1" ht="15.75">
      <c r="A27" s="414" t="s">
        <v>514</v>
      </c>
      <c r="B27" s="407"/>
      <c r="C27" s="415">
        <f>C23*2</f>
        <v>10.9476</v>
      </c>
      <c r="D27" s="415"/>
      <c r="E27" s="415"/>
      <c r="F27" s="415">
        <f>F23*2</f>
        <v>8.228</v>
      </c>
      <c r="G27" s="415"/>
      <c r="H27" s="415"/>
      <c r="I27" s="415"/>
      <c r="J27" s="415"/>
      <c r="K27" s="415"/>
      <c r="L27" s="416"/>
    </row>
    <row r="28" spans="1:12" s="326" customFormat="1" ht="15.75">
      <c r="A28" s="414" t="s">
        <v>505</v>
      </c>
      <c r="B28" s="407"/>
      <c r="C28" s="415">
        <f>C23*0.25</f>
        <v>1.36845</v>
      </c>
      <c r="D28" s="415"/>
      <c r="E28" s="415"/>
      <c r="F28" s="415">
        <f>F23*0.25</f>
        <v>1.0285</v>
      </c>
      <c r="G28" s="415"/>
      <c r="H28" s="415"/>
      <c r="I28" s="415"/>
      <c r="J28" s="415"/>
      <c r="K28" s="421"/>
      <c r="L28" s="416"/>
    </row>
    <row r="29" spans="1:12" s="326" customFormat="1" ht="47.25">
      <c r="A29" s="414" t="s">
        <v>515</v>
      </c>
      <c r="B29" s="407"/>
      <c r="C29" s="415">
        <f>C23*0.25</f>
        <v>1.36845</v>
      </c>
      <c r="D29" s="415"/>
      <c r="E29" s="415"/>
      <c r="F29" s="415">
        <f>F23*0.25</f>
        <v>1.0285</v>
      </c>
      <c r="G29" s="415"/>
      <c r="H29" s="415"/>
      <c r="I29" s="415"/>
      <c r="J29" s="415"/>
      <c r="K29" s="421"/>
      <c r="L29" s="416"/>
    </row>
    <row r="30" spans="1:14" s="326" customFormat="1" ht="15.75">
      <c r="A30" s="414" t="s">
        <v>507</v>
      </c>
      <c r="B30" s="407"/>
      <c r="C30" s="415">
        <f>(C23+C24+C25+C26+C27+C28+C29)*0.7</f>
        <v>17.693703999999997</v>
      </c>
      <c r="D30" s="415"/>
      <c r="E30" s="415"/>
      <c r="F30" s="415">
        <f>(F23+F24+F25+F26+F27+F28+F29)*0.7</f>
        <v>13.50552</v>
      </c>
      <c r="G30" s="415"/>
      <c r="H30" s="415"/>
      <c r="I30" s="415"/>
      <c r="J30" s="415"/>
      <c r="K30" s="421"/>
      <c r="L30" s="416"/>
      <c r="N30" s="457"/>
    </row>
    <row r="31" spans="1:12" s="326" customFormat="1" ht="15.75">
      <c r="A31" s="414" t="s">
        <v>508</v>
      </c>
      <c r="B31" s="407"/>
      <c r="C31" s="415">
        <f>(C23+C24+C25+C26+C27+C28+C29)*0.8</f>
        <v>20.221376</v>
      </c>
      <c r="D31" s="415"/>
      <c r="E31" s="415"/>
      <c r="F31" s="415">
        <f>(F23+F24+F25+F26+F27+F28+F29)*0.8</f>
        <v>15.434880000000001</v>
      </c>
      <c r="G31" s="415"/>
      <c r="H31" s="415"/>
      <c r="I31" s="415"/>
      <c r="J31" s="415"/>
      <c r="K31" s="421"/>
      <c r="L31" s="416"/>
    </row>
    <row r="32" spans="1:12" s="326" customFormat="1" ht="16.5" thickBot="1">
      <c r="A32" s="418" t="s">
        <v>509</v>
      </c>
      <c r="B32" s="409"/>
      <c r="C32" s="409">
        <f>(SUM(C23:C31)*C22*12)*0.302</f>
        <v>458.0141663999999</v>
      </c>
      <c r="D32" s="409"/>
      <c r="E32" s="409"/>
      <c r="F32" s="409">
        <f>(SUM(F23:F31)*F22*12)*0.302</f>
        <v>174.800016</v>
      </c>
      <c r="G32" s="409"/>
      <c r="H32" s="409"/>
      <c r="I32" s="409"/>
      <c r="J32" s="409"/>
      <c r="K32" s="423"/>
      <c r="L32" s="424"/>
    </row>
    <row r="33" spans="1:14" s="326" customFormat="1" ht="16.5" thickBot="1">
      <c r="A33" s="431" t="s">
        <v>516</v>
      </c>
      <c r="B33" s="432">
        <f>SUM(C33:K33)</f>
        <v>2728.2253824</v>
      </c>
      <c r="C33" s="432">
        <f>(SUM(C23:C31)*C22*12)+C32</f>
        <v>1974.6173663999998</v>
      </c>
      <c r="D33" s="432"/>
      <c r="E33" s="432"/>
      <c r="F33" s="432">
        <f>(SUM(F23:F31)*F22*12)+F32</f>
        <v>753.608016</v>
      </c>
      <c r="G33" s="432"/>
      <c r="H33" s="432"/>
      <c r="I33" s="432"/>
      <c r="J33" s="432"/>
      <c r="K33" s="435"/>
      <c r="L33" s="436"/>
      <c r="N33" s="457"/>
    </row>
    <row r="34" spans="1:12" s="326" customFormat="1" ht="21.75" customHeight="1" hidden="1">
      <c r="A34" s="437"/>
      <c r="B34" s="433"/>
      <c r="C34" s="433"/>
      <c r="D34" s="433"/>
      <c r="E34" s="433"/>
      <c r="F34" s="433"/>
      <c r="G34" s="433"/>
      <c r="H34" s="433"/>
      <c r="I34" s="433"/>
      <c r="J34" s="433"/>
      <c r="K34" s="438"/>
      <c r="L34" s="439"/>
    </row>
    <row r="35" spans="1:12" s="326" customFormat="1" ht="15.75" hidden="1">
      <c r="A35" s="437"/>
      <c r="B35" s="433"/>
      <c r="C35" s="433"/>
      <c r="D35" s="433"/>
      <c r="E35" s="433"/>
      <c r="F35" s="433"/>
      <c r="G35" s="433"/>
      <c r="H35" s="433"/>
      <c r="I35" s="433"/>
      <c r="J35" s="433"/>
      <c r="K35" s="438"/>
      <c r="L35" s="439"/>
    </row>
    <row r="36" spans="1:12" s="413" customFormat="1" ht="15.75" hidden="1">
      <c r="A36" s="430"/>
      <c r="B36" s="410"/>
      <c r="C36" s="410"/>
      <c r="D36" s="410"/>
      <c r="E36" s="410"/>
      <c r="F36" s="410"/>
      <c r="G36" s="410"/>
      <c r="H36" s="410"/>
      <c r="I36" s="410"/>
      <c r="J36" s="410"/>
      <c r="K36" s="411"/>
      <c r="L36" s="412"/>
    </row>
    <row r="37" spans="1:12" s="326" customFormat="1" ht="15.75" hidden="1">
      <c r="A37" s="414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16"/>
    </row>
    <row r="38" spans="1:12" s="326" customFormat="1" ht="15.75" hidden="1">
      <c r="A38" s="414"/>
      <c r="B38" s="407"/>
      <c r="C38" s="415"/>
      <c r="D38" s="415"/>
      <c r="E38" s="415"/>
      <c r="F38" s="415"/>
      <c r="G38" s="415"/>
      <c r="H38" s="415"/>
      <c r="I38" s="415"/>
      <c r="J38" s="415"/>
      <c r="K38" s="415"/>
      <c r="L38" s="416"/>
    </row>
    <row r="39" spans="1:12" s="326" customFormat="1" ht="15.75" hidden="1">
      <c r="A39" s="414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16"/>
    </row>
    <row r="40" spans="1:12" s="326" customFormat="1" ht="14.25" customHeight="1" hidden="1">
      <c r="A40" s="414"/>
      <c r="B40" s="407"/>
      <c r="C40" s="415"/>
      <c r="D40" s="415"/>
      <c r="E40" s="415"/>
      <c r="F40" s="415"/>
      <c r="G40" s="415"/>
      <c r="H40" s="415"/>
      <c r="I40" s="415"/>
      <c r="J40" s="415"/>
      <c r="K40" s="415"/>
      <c r="L40" s="417"/>
    </row>
    <row r="41" spans="1:12" s="326" customFormat="1" ht="15.75" hidden="1">
      <c r="A41" s="414"/>
      <c r="B41" s="407"/>
      <c r="C41" s="415"/>
      <c r="D41" s="415"/>
      <c r="E41" s="415"/>
      <c r="F41" s="415"/>
      <c r="G41" s="415"/>
      <c r="H41" s="415"/>
      <c r="I41" s="415"/>
      <c r="J41" s="415"/>
      <c r="K41" s="415"/>
      <c r="L41" s="416"/>
    </row>
    <row r="42" spans="1:12" s="326" customFormat="1" ht="15.75" hidden="1">
      <c r="A42" s="414"/>
      <c r="B42" s="407"/>
      <c r="C42" s="415"/>
      <c r="D42" s="415"/>
      <c r="E42" s="415"/>
      <c r="F42" s="415"/>
      <c r="G42" s="415"/>
      <c r="H42" s="415"/>
      <c r="I42" s="415"/>
      <c r="J42" s="415"/>
      <c r="K42" s="415"/>
      <c r="L42" s="416"/>
    </row>
    <row r="43" spans="1:12" s="326" customFormat="1" ht="15.75" hidden="1">
      <c r="A43" s="414"/>
      <c r="B43" s="407"/>
      <c r="C43" s="415"/>
      <c r="D43" s="415"/>
      <c r="E43" s="415"/>
      <c r="F43" s="415"/>
      <c r="G43" s="415"/>
      <c r="H43" s="415"/>
      <c r="I43" s="415"/>
      <c r="J43" s="415"/>
      <c r="K43" s="415"/>
      <c r="L43" s="416"/>
    </row>
    <row r="44" spans="1:12" s="326" customFormat="1" ht="15.75" hidden="1">
      <c r="A44" s="414"/>
      <c r="B44" s="407"/>
      <c r="C44" s="415"/>
      <c r="D44" s="415"/>
      <c r="E44" s="415"/>
      <c r="F44" s="415"/>
      <c r="G44" s="415"/>
      <c r="H44" s="415"/>
      <c r="I44" s="415"/>
      <c r="J44" s="415"/>
      <c r="K44" s="415"/>
      <c r="L44" s="416"/>
    </row>
    <row r="45" spans="1:12" s="326" customFormat="1" ht="15.75" hidden="1">
      <c r="A45" s="414"/>
      <c r="B45" s="407"/>
      <c r="C45" s="415"/>
      <c r="D45" s="415"/>
      <c r="E45" s="415"/>
      <c r="F45" s="415"/>
      <c r="G45" s="415"/>
      <c r="H45" s="415"/>
      <c r="I45" s="415"/>
      <c r="J45" s="415"/>
      <c r="K45" s="415"/>
      <c r="L45" s="417"/>
    </row>
    <row r="46" spans="1:12" s="326" customFormat="1" ht="15.75" hidden="1">
      <c r="A46" s="418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17"/>
    </row>
    <row r="47" spans="1:12" s="326" customFormat="1" ht="16.5" hidden="1" thickBot="1">
      <c r="A47" s="431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16"/>
    </row>
    <row r="48" spans="1:12" s="326" customFormat="1" ht="15.75" hidden="1">
      <c r="A48" s="419"/>
      <c r="B48" s="433"/>
      <c r="C48" s="420"/>
      <c r="D48" s="420"/>
      <c r="E48" s="420"/>
      <c r="F48" s="420"/>
      <c r="G48" s="420"/>
      <c r="H48" s="420"/>
      <c r="I48" s="420"/>
      <c r="J48" s="420"/>
      <c r="K48" s="420"/>
      <c r="L48" s="406"/>
    </row>
    <row r="49" spans="1:12" s="413" customFormat="1" ht="15.75" hidden="1">
      <c r="A49" s="434"/>
      <c r="B49" s="410"/>
      <c r="C49" s="410"/>
      <c r="D49" s="410"/>
      <c r="E49" s="410"/>
      <c r="F49" s="410"/>
      <c r="G49" s="410"/>
      <c r="H49" s="410"/>
      <c r="I49" s="410"/>
      <c r="J49" s="410"/>
      <c r="K49" s="411"/>
      <c r="L49" s="412"/>
    </row>
    <row r="50" spans="1:12" s="326" customFormat="1" ht="15.75" hidden="1">
      <c r="A50" s="414"/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16"/>
    </row>
    <row r="51" spans="1:12" s="326" customFormat="1" ht="15.75" hidden="1">
      <c r="A51" s="414"/>
      <c r="B51" s="407"/>
      <c r="C51" s="415"/>
      <c r="D51" s="415"/>
      <c r="E51" s="415"/>
      <c r="F51" s="415"/>
      <c r="G51" s="415"/>
      <c r="H51" s="415"/>
      <c r="I51" s="415"/>
      <c r="J51" s="415"/>
      <c r="K51" s="421"/>
      <c r="L51" s="416"/>
    </row>
    <row r="52" spans="1:12" s="326" customFormat="1" ht="15.75" hidden="1">
      <c r="A52" s="414"/>
      <c r="B52" s="407"/>
      <c r="C52" s="407"/>
      <c r="D52" s="407"/>
      <c r="E52" s="407"/>
      <c r="F52" s="407"/>
      <c r="G52" s="407"/>
      <c r="H52" s="407"/>
      <c r="I52" s="407"/>
      <c r="J52" s="407"/>
      <c r="K52" s="422"/>
      <c r="L52" s="416"/>
    </row>
    <row r="53" spans="1:12" s="326" customFormat="1" ht="14.25" customHeight="1" hidden="1">
      <c r="A53" s="414"/>
      <c r="B53" s="407"/>
      <c r="C53" s="415"/>
      <c r="D53" s="415"/>
      <c r="E53" s="415"/>
      <c r="F53" s="415"/>
      <c r="G53" s="415"/>
      <c r="H53" s="415"/>
      <c r="I53" s="415"/>
      <c r="J53" s="415"/>
      <c r="K53" s="421"/>
      <c r="L53" s="417"/>
    </row>
    <row r="54" spans="1:12" s="326" customFormat="1" ht="15.75" hidden="1">
      <c r="A54" s="414"/>
      <c r="B54" s="407"/>
      <c r="C54" s="415"/>
      <c r="D54" s="415"/>
      <c r="E54" s="415"/>
      <c r="F54" s="415"/>
      <c r="G54" s="415"/>
      <c r="H54" s="415"/>
      <c r="I54" s="415"/>
      <c r="J54" s="415"/>
      <c r="K54" s="415"/>
      <c r="L54" s="416"/>
    </row>
    <row r="55" spans="1:12" s="326" customFormat="1" ht="15.75" hidden="1">
      <c r="A55" s="414"/>
      <c r="B55" s="407"/>
      <c r="C55" s="415"/>
      <c r="D55" s="415"/>
      <c r="E55" s="415"/>
      <c r="F55" s="415"/>
      <c r="G55" s="415"/>
      <c r="H55" s="415"/>
      <c r="I55" s="415"/>
      <c r="J55" s="415"/>
      <c r="K55" s="421"/>
      <c r="L55" s="416"/>
    </row>
    <row r="56" spans="1:12" s="326" customFormat="1" ht="15.75" hidden="1">
      <c r="A56" s="414"/>
      <c r="B56" s="407"/>
      <c r="C56" s="415"/>
      <c r="D56" s="415"/>
      <c r="E56" s="415"/>
      <c r="F56" s="415"/>
      <c r="G56" s="415"/>
      <c r="H56" s="415"/>
      <c r="I56" s="415"/>
      <c r="J56" s="415"/>
      <c r="K56" s="421"/>
      <c r="L56" s="416"/>
    </row>
    <row r="57" spans="1:12" s="326" customFormat="1" ht="15.75" hidden="1">
      <c r="A57" s="414"/>
      <c r="B57" s="407"/>
      <c r="C57" s="415"/>
      <c r="D57" s="415"/>
      <c r="E57" s="415"/>
      <c r="F57" s="415"/>
      <c r="G57" s="415"/>
      <c r="H57" s="415"/>
      <c r="I57" s="415"/>
      <c r="J57" s="415"/>
      <c r="K57" s="421"/>
      <c r="L57" s="416"/>
    </row>
    <row r="58" spans="1:12" s="326" customFormat="1" ht="15.75" hidden="1">
      <c r="A58" s="414"/>
      <c r="B58" s="407"/>
      <c r="C58" s="415"/>
      <c r="D58" s="415"/>
      <c r="E58" s="415"/>
      <c r="F58" s="415"/>
      <c r="G58" s="415"/>
      <c r="H58" s="415"/>
      <c r="I58" s="415"/>
      <c r="J58" s="415"/>
      <c r="K58" s="421"/>
      <c r="L58" s="416"/>
    </row>
    <row r="59" spans="1:12" s="326" customFormat="1" ht="15.75" hidden="1">
      <c r="A59" s="418"/>
      <c r="B59" s="409"/>
      <c r="C59" s="409"/>
      <c r="D59" s="409"/>
      <c r="E59" s="409"/>
      <c r="F59" s="409"/>
      <c r="G59" s="409"/>
      <c r="H59" s="409"/>
      <c r="I59" s="409"/>
      <c r="J59" s="409"/>
      <c r="K59" s="423"/>
      <c r="L59" s="424"/>
    </row>
    <row r="60" spans="1:12" s="326" customFormat="1" ht="16.5" hidden="1" thickBot="1">
      <c r="A60" s="431"/>
      <c r="B60" s="432"/>
      <c r="C60" s="432"/>
      <c r="D60" s="432"/>
      <c r="E60" s="432"/>
      <c r="F60" s="432"/>
      <c r="G60" s="432"/>
      <c r="H60" s="432"/>
      <c r="I60" s="432"/>
      <c r="J60" s="432"/>
      <c r="K60" s="435"/>
      <c r="L60" s="436"/>
    </row>
    <row r="61" ht="15.75" hidden="1">
      <c r="A61" s="437"/>
    </row>
    <row r="62" spans="1:12" s="326" customFormat="1" ht="15.75">
      <c r="A62" s="406" t="s">
        <v>517</v>
      </c>
      <c r="B62" s="407">
        <f>C62+D62+E62+F62+G62+H62+I62+J62+K62</f>
        <v>75.1098</v>
      </c>
      <c r="C62" s="407">
        <v>30.9</v>
      </c>
      <c r="D62" s="407">
        <v>7.7</v>
      </c>
      <c r="E62" s="407">
        <v>6</v>
      </c>
      <c r="F62" s="407">
        <v>6</v>
      </c>
      <c r="G62" s="407">
        <v>4.1</v>
      </c>
      <c r="H62" s="407">
        <v>3.9</v>
      </c>
      <c r="I62" s="407">
        <v>6.8</v>
      </c>
      <c r="J62" s="407">
        <f>(21*(J5/5))/1000</f>
        <v>0.7098</v>
      </c>
      <c r="K62" s="407">
        <v>9</v>
      </c>
      <c r="L62" s="425"/>
    </row>
    <row r="63" spans="1:12" s="326" customFormat="1" ht="19.5" customHeight="1">
      <c r="A63" s="406" t="s">
        <v>518</v>
      </c>
      <c r="B63" s="407">
        <f aca="true" t="shared" si="10" ref="B63:B71">C63+D63+E63+F63+G63+H63+I63+J63+K63</f>
        <v>133.79999999999998</v>
      </c>
      <c r="C63" s="407">
        <f>(750*12)/1000</f>
        <v>9</v>
      </c>
      <c r="D63" s="407">
        <f aca="true" t="shared" si="11" ref="D63:K63">(1300*12)/1000</f>
        <v>15.6</v>
      </c>
      <c r="E63" s="407">
        <f t="shared" si="11"/>
        <v>15.6</v>
      </c>
      <c r="F63" s="407">
        <f t="shared" si="11"/>
        <v>15.6</v>
      </c>
      <c r="G63" s="407">
        <f t="shared" si="11"/>
        <v>15.6</v>
      </c>
      <c r="H63" s="407">
        <f t="shared" si="11"/>
        <v>15.6</v>
      </c>
      <c r="I63" s="407">
        <f t="shared" si="11"/>
        <v>15.6</v>
      </c>
      <c r="J63" s="407">
        <f t="shared" si="11"/>
        <v>15.6</v>
      </c>
      <c r="K63" s="407">
        <f t="shared" si="11"/>
        <v>15.6</v>
      </c>
      <c r="L63" s="406"/>
    </row>
    <row r="64" spans="1:12" s="326" customFormat="1" ht="15.75">
      <c r="A64" s="406" t="s">
        <v>519</v>
      </c>
      <c r="B64" s="407">
        <f t="shared" si="10"/>
        <v>86.99999999999999</v>
      </c>
      <c r="C64" s="407">
        <v>10.2</v>
      </c>
      <c r="D64" s="407">
        <v>9.6</v>
      </c>
      <c r="E64" s="407">
        <v>9.6</v>
      </c>
      <c r="F64" s="407">
        <v>9.6</v>
      </c>
      <c r="G64" s="407">
        <v>9.6</v>
      </c>
      <c r="H64" s="407">
        <v>9.6</v>
      </c>
      <c r="I64" s="407">
        <v>9.6</v>
      </c>
      <c r="J64" s="407">
        <v>9.6</v>
      </c>
      <c r="K64" s="407">
        <v>9.6</v>
      </c>
      <c r="L64" s="425"/>
    </row>
    <row r="65" spans="1:12" s="427" customFormat="1" ht="31.5">
      <c r="A65" s="406" t="s">
        <v>520</v>
      </c>
      <c r="B65" s="407">
        <f t="shared" si="10"/>
        <v>119.69999999999999</v>
      </c>
      <c r="C65" s="426">
        <v>13.3</v>
      </c>
      <c r="D65" s="426">
        <v>13.3</v>
      </c>
      <c r="E65" s="426">
        <v>13.3</v>
      </c>
      <c r="F65" s="426">
        <v>13.3</v>
      </c>
      <c r="G65" s="426">
        <v>13.3</v>
      </c>
      <c r="H65" s="426">
        <v>13.3</v>
      </c>
      <c r="I65" s="426">
        <v>13.3</v>
      </c>
      <c r="J65" s="426">
        <v>13.3</v>
      </c>
      <c r="K65" s="426">
        <v>13.3</v>
      </c>
      <c r="L65" s="73"/>
    </row>
    <row r="66" spans="1:12" s="427" customFormat="1" ht="11.25" customHeight="1" hidden="1">
      <c r="A66" s="406" t="s">
        <v>521</v>
      </c>
      <c r="B66" s="407">
        <f t="shared" si="10"/>
        <v>9477</v>
      </c>
      <c r="C66" s="426">
        <v>3961</v>
      </c>
      <c r="D66" s="426">
        <v>883</v>
      </c>
      <c r="E66" s="426">
        <v>829</v>
      </c>
      <c r="F66" s="426">
        <v>710</v>
      </c>
      <c r="G66" s="426">
        <v>465</v>
      </c>
      <c r="H66" s="426">
        <v>513</v>
      </c>
      <c r="I66" s="426">
        <v>890</v>
      </c>
      <c r="J66" s="426">
        <v>100</v>
      </c>
      <c r="K66" s="426">
        <v>1126</v>
      </c>
      <c r="L66" s="73"/>
    </row>
    <row r="67" spans="1:12" s="326" customFormat="1" ht="12.75" customHeight="1">
      <c r="A67" s="406" t="s">
        <v>522</v>
      </c>
      <c r="B67" s="407">
        <f t="shared" si="10"/>
        <v>706.4</v>
      </c>
      <c r="C67" s="407">
        <v>0</v>
      </c>
      <c r="D67" s="407">
        <v>84.5</v>
      </c>
      <c r="E67" s="407">
        <v>85.1</v>
      </c>
      <c r="F67" s="407">
        <v>39.6</v>
      </c>
      <c r="G67" s="407">
        <v>94.5</v>
      </c>
      <c r="H67" s="407">
        <v>93.5</v>
      </c>
      <c r="I67" s="407">
        <v>95</v>
      </c>
      <c r="J67" s="407">
        <v>121.8</v>
      </c>
      <c r="K67" s="407">
        <v>92.4</v>
      </c>
      <c r="L67" s="406" t="s">
        <v>523</v>
      </c>
    </row>
    <row r="68" spans="1:12" s="326" customFormat="1" ht="15.75" hidden="1">
      <c r="A68" s="406" t="s">
        <v>524</v>
      </c>
      <c r="B68" s="407">
        <f t="shared" si="10"/>
        <v>28700</v>
      </c>
      <c r="C68" s="407">
        <v>0</v>
      </c>
      <c r="D68" s="407">
        <v>200</v>
      </c>
      <c r="E68" s="407">
        <v>750</v>
      </c>
      <c r="F68" s="407">
        <v>750</v>
      </c>
      <c r="G68" s="407">
        <v>3000</v>
      </c>
      <c r="H68" s="407">
        <v>3000</v>
      </c>
      <c r="I68" s="407">
        <v>3000</v>
      </c>
      <c r="J68" s="407">
        <v>15000</v>
      </c>
      <c r="K68" s="407">
        <v>3000</v>
      </c>
      <c r="L68" s="406"/>
    </row>
    <row r="69" spans="1:12" s="413" customFormat="1" ht="31.5">
      <c r="A69" s="458" t="s">
        <v>525</v>
      </c>
      <c r="B69" s="415">
        <f t="shared" si="10"/>
        <v>666.9</v>
      </c>
      <c r="C69" s="415">
        <v>120.9</v>
      </c>
      <c r="D69" s="415">
        <v>125</v>
      </c>
      <c r="E69" s="415">
        <v>110</v>
      </c>
      <c r="F69" s="415"/>
      <c r="G69" s="415">
        <v>60</v>
      </c>
      <c r="H69" s="415">
        <v>146</v>
      </c>
      <c r="I69" s="415">
        <v>0</v>
      </c>
      <c r="J69" s="415">
        <v>0</v>
      </c>
      <c r="K69" s="415">
        <v>105</v>
      </c>
      <c r="L69" s="458"/>
    </row>
    <row r="70" spans="1:12" s="326" customFormat="1" ht="31.5">
      <c r="A70" s="406" t="s">
        <v>526</v>
      </c>
      <c r="B70" s="407">
        <f t="shared" si="10"/>
        <v>342.6</v>
      </c>
      <c r="C70" s="428">
        <v>92.9</v>
      </c>
      <c r="D70" s="428">
        <v>8.3</v>
      </c>
      <c r="E70" s="428">
        <v>33.3</v>
      </c>
      <c r="F70" s="428">
        <v>35</v>
      </c>
      <c r="G70" s="428">
        <v>30.2</v>
      </c>
      <c r="H70" s="428">
        <v>69.2</v>
      </c>
      <c r="I70" s="428">
        <v>28.6</v>
      </c>
      <c r="J70" s="428">
        <v>0</v>
      </c>
      <c r="K70" s="428">
        <v>45.1</v>
      </c>
      <c r="L70" s="406"/>
    </row>
    <row r="71" spans="1:12" s="326" customFormat="1" ht="31.5">
      <c r="A71" s="406" t="s">
        <v>527</v>
      </c>
      <c r="B71" s="407">
        <f t="shared" si="10"/>
        <v>127.69999999999999</v>
      </c>
      <c r="C71" s="428">
        <v>30.8</v>
      </c>
      <c r="D71" s="428">
        <v>12.8</v>
      </c>
      <c r="E71" s="428">
        <v>25</v>
      </c>
      <c r="F71" s="428">
        <v>20.5</v>
      </c>
      <c r="G71" s="428">
        <v>8.6</v>
      </c>
      <c r="H71" s="428">
        <v>10</v>
      </c>
      <c r="I71" s="428">
        <v>0</v>
      </c>
      <c r="J71" s="428">
        <v>0</v>
      </c>
      <c r="K71" s="428">
        <v>20</v>
      </c>
      <c r="L71" s="406"/>
    </row>
    <row r="72" spans="1:12" s="326" customFormat="1" ht="18" customHeight="1">
      <c r="A72" s="440" t="s">
        <v>528</v>
      </c>
      <c r="B72" s="441">
        <f>B20+B33+B62+B63+B64+B65+B69+B67+B70+B71</f>
        <v>13166.7351824</v>
      </c>
      <c r="C72" s="441">
        <f>C20+C33+C62+C63+C64+C65+C69+C67+C70+C71</f>
        <v>3362.9732192</v>
      </c>
      <c r="D72" s="441">
        <f aca="true" t="shared" si="12" ref="D72:K72">D20+D33+D62+D63+D64+D65+D69+D67+D70+D71</f>
        <v>1357.1558527999996</v>
      </c>
      <c r="E72" s="441">
        <f t="shared" si="12"/>
        <v>1378.2558527999995</v>
      </c>
      <c r="F72" s="441">
        <f t="shared" si="12"/>
        <v>1973.5638687999997</v>
      </c>
      <c r="G72" s="441">
        <f t="shared" si="12"/>
        <v>776.0779264</v>
      </c>
      <c r="H72" s="441">
        <f t="shared" si="12"/>
        <v>901.2779264</v>
      </c>
      <c r="I72" s="441">
        <f t="shared" si="12"/>
        <v>1249.2558527999995</v>
      </c>
      <c r="J72" s="441">
        <f t="shared" si="12"/>
        <v>777.478156</v>
      </c>
      <c r="K72" s="441">
        <f t="shared" si="12"/>
        <v>1390.3558527999996</v>
      </c>
      <c r="L72" s="406"/>
    </row>
    <row r="73" spans="1:12" s="326" customFormat="1" ht="18" customHeight="1">
      <c r="A73" s="440" t="s">
        <v>529</v>
      </c>
      <c r="B73" s="441">
        <v>13229.5358496</v>
      </c>
      <c r="C73" s="441">
        <v>3366.7732192</v>
      </c>
      <c r="D73" s="441">
        <v>1232.5558527999997</v>
      </c>
      <c r="E73" s="441">
        <v>1269.9558527999995</v>
      </c>
      <c r="F73" s="441">
        <v>2367.7645359999997</v>
      </c>
      <c r="G73" s="441">
        <v>717.5779264</v>
      </c>
      <c r="H73" s="441">
        <v>758.7779264</v>
      </c>
      <c r="I73" s="441">
        <v>1350.6558527999996</v>
      </c>
      <c r="J73" s="441">
        <v>877.478156</v>
      </c>
      <c r="K73" s="441">
        <v>1287.6558527999998</v>
      </c>
      <c r="L73" s="406"/>
    </row>
    <row r="74" spans="1:12" s="326" customFormat="1" ht="18" customHeight="1">
      <c r="A74" s="440" t="s">
        <v>534</v>
      </c>
      <c r="B74" s="441">
        <v>13415.6358496</v>
      </c>
      <c r="C74" s="441">
        <v>3358.9732191999997</v>
      </c>
      <c r="D74" s="441">
        <v>1335.2558527999997</v>
      </c>
      <c r="E74" s="441">
        <v>1376.6558527999996</v>
      </c>
      <c r="F74" s="441">
        <v>2274.8645359999996</v>
      </c>
      <c r="G74" s="441">
        <v>770.5779263999999</v>
      </c>
      <c r="H74" s="441">
        <v>854.3779263999999</v>
      </c>
      <c r="I74" s="441">
        <v>1262.1558527999996</v>
      </c>
      <c r="J74" s="441">
        <v>782.478156</v>
      </c>
      <c r="K74" s="441">
        <v>1399.9558527999998</v>
      </c>
      <c r="L74" s="406"/>
    </row>
  </sheetData>
  <sheetProtection/>
  <mergeCells count="2">
    <mergeCell ref="A2:K2"/>
    <mergeCell ref="A1:K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"/>
  <sheetViews>
    <sheetView zoomScale="70" zoomScaleNormal="70" zoomScaleSheetLayoutView="80" zoomScalePageLayoutView="0" workbookViewId="0" topLeftCell="A1">
      <selection activeCell="M10" sqref="M10"/>
    </sheetView>
  </sheetViews>
  <sheetFormatPr defaultColWidth="18.25390625" defaultRowHeight="12.75"/>
  <cols>
    <col min="1" max="1" width="43.25390625" style="11" customWidth="1"/>
    <col min="2" max="2" width="21.75390625" style="11" customWidth="1"/>
    <col min="3" max="3" width="23.125" style="11" customWidth="1"/>
    <col min="4" max="4" width="21.375" style="11" customWidth="1"/>
    <col min="5" max="5" width="22.625" style="11" customWidth="1"/>
    <col min="6" max="6" width="21.625" style="11" customWidth="1"/>
    <col min="7" max="7" width="24.00390625" style="11" customWidth="1"/>
    <col min="8" max="8" width="21.125" style="11" customWidth="1"/>
    <col min="9" max="9" width="19.625" style="11" customWidth="1"/>
    <col min="10" max="10" width="22.625" style="11" customWidth="1"/>
    <col min="11" max="11" width="11.00390625" style="11" customWidth="1"/>
    <col min="12" max="13" width="10.875" style="11" customWidth="1"/>
    <col min="14" max="14" width="12.25390625" style="11" customWidth="1"/>
    <col min="15" max="16384" width="18.25390625" style="11" customWidth="1"/>
  </cols>
  <sheetData>
    <row r="1" spans="1:10" ht="30.75" customHeight="1">
      <c r="A1" s="522" t="s">
        <v>107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24.75" customHeight="1">
      <c r="A2" s="522" t="s">
        <v>366</v>
      </c>
      <c r="B2" s="522"/>
      <c r="C2" s="522"/>
      <c r="D2" s="522"/>
      <c r="E2" s="522"/>
      <c r="F2" s="522"/>
      <c r="G2" s="522"/>
      <c r="H2" s="522"/>
      <c r="I2" s="522"/>
      <c r="J2" s="522"/>
    </row>
    <row r="3" spans="1:10" ht="21.75" customHeight="1">
      <c r="A3" s="522" t="s">
        <v>367</v>
      </c>
      <c r="B3" s="522"/>
      <c r="C3" s="522"/>
      <c r="D3" s="522"/>
      <c r="E3" s="522"/>
      <c r="F3" s="522"/>
      <c r="G3" s="522"/>
      <c r="H3" s="522"/>
      <c r="I3" s="522"/>
      <c r="J3" s="522"/>
    </row>
    <row r="4" ht="46.5" customHeight="1">
      <c r="J4" s="100" t="s">
        <v>30</v>
      </c>
    </row>
    <row r="5" spans="1:10" ht="15.75" customHeight="1">
      <c r="A5" s="525" t="s">
        <v>31</v>
      </c>
      <c r="B5" s="523" t="s">
        <v>283</v>
      </c>
      <c r="C5" s="523"/>
      <c r="D5" s="523"/>
      <c r="E5" s="524" t="s">
        <v>284</v>
      </c>
      <c r="F5" s="524"/>
      <c r="G5" s="524"/>
      <c r="H5" s="524" t="s">
        <v>285</v>
      </c>
      <c r="I5" s="524"/>
      <c r="J5" s="524"/>
    </row>
    <row r="6" spans="1:10" ht="200.25" customHeight="1">
      <c r="A6" s="526"/>
      <c r="B6" s="523"/>
      <c r="C6" s="523"/>
      <c r="D6" s="523"/>
      <c r="E6" s="524"/>
      <c r="F6" s="524"/>
      <c r="G6" s="524"/>
      <c r="H6" s="524"/>
      <c r="I6" s="524"/>
      <c r="J6" s="524"/>
    </row>
    <row r="7" spans="1:10" ht="44.25" customHeight="1">
      <c r="A7" s="527"/>
      <c r="B7" s="14" t="s">
        <v>286</v>
      </c>
      <c r="C7" s="14" t="s">
        <v>287</v>
      </c>
      <c r="D7" s="14" t="s">
        <v>328</v>
      </c>
      <c r="E7" s="14" t="s">
        <v>286</v>
      </c>
      <c r="F7" s="14" t="s">
        <v>287</v>
      </c>
      <c r="G7" s="14" t="s">
        <v>328</v>
      </c>
      <c r="H7" s="14" t="s">
        <v>286</v>
      </c>
      <c r="I7" s="14" t="s">
        <v>287</v>
      </c>
      <c r="J7" s="14" t="s">
        <v>328</v>
      </c>
    </row>
    <row r="8" spans="1:10" ht="30" customHeight="1">
      <c r="A8" s="288" t="s">
        <v>10</v>
      </c>
      <c r="B8" s="289">
        <v>3959.2</v>
      </c>
      <c r="C8" s="289">
        <v>3959.2</v>
      </c>
      <c r="D8" s="289">
        <v>3959.2</v>
      </c>
      <c r="E8" s="289">
        <v>15112.4</v>
      </c>
      <c r="F8" s="289">
        <f aca="true" t="shared" si="0" ref="F8:G16">E8</f>
        <v>15112.4</v>
      </c>
      <c r="G8" s="289">
        <f t="shared" si="0"/>
        <v>15112.4</v>
      </c>
      <c r="H8" s="289">
        <f aca="true" t="shared" si="1" ref="H8:J9">B8+E8</f>
        <v>19071.6</v>
      </c>
      <c r="I8" s="289">
        <f t="shared" si="1"/>
        <v>19071.6</v>
      </c>
      <c r="J8" s="289">
        <f t="shared" si="1"/>
        <v>19071.6</v>
      </c>
    </row>
    <row r="9" spans="1:10" ht="31.5" customHeight="1">
      <c r="A9" s="288" t="s">
        <v>113</v>
      </c>
      <c r="B9" s="289">
        <v>1097.9</v>
      </c>
      <c r="C9" s="289">
        <v>1097.9</v>
      </c>
      <c r="D9" s="289">
        <v>1097.9</v>
      </c>
      <c r="E9" s="289">
        <v>3370.3</v>
      </c>
      <c r="F9" s="289">
        <f t="shared" si="0"/>
        <v>3370.3</v>
      </c>
      <c r="G9" s="289">
        <f t="shared" si="0"/>
        <v>3370.3</v>
      </c>
      <c r="H9" s="289">
        <f t="shared" si="1"/>
        <v>4468.200000000001</v>
      </c>
      <c r="I9" s="289">
        <f t="shared" si="1"/>
        <v>4468.200000000001</v>
      </c>
      <c r="J9" s="289">
        <f t="shared" si="1"/>
        <v>4468.200000000001</v>
      </c>
    </row>
    <row r="10" spans="1:10" ht="27.75" customHeight="1">
      <c r="A10" s="288" t="s">
        <v>109</v>
      </c>
      <c r="B10" s="289">
        <v>638.5</v>
      </c>
      <c r="C10" s="289">
        <v>638.5</v>
      </c>
      <c r="D10" s="289">
        <v>638.5</v>
      </c>
      <c r="E10" s="289">
        <v>2510.2</v>
      </c>
      <c r="F10" s="289">
        <f t="shared" si="0"/>
        <v>2510.2</v>
      </c>
      <c r="G10" s="289">
        <f t="shared" si="0"/>
        <v>2510.2</v>
      </c>
      <c r="H10" s="289">
        <f aca="true" t="shared" si="2" ref="H10:H16">B10+E10</f>
        <v>3148.7</v>
      </c>
      <c r="I10" s="289">
        <f aca="true" t="shared" si="3" ref="I10:I16">C10+F10</f>
        <v>3148.7</v>
      </c>
      <c r="J10" s="289">
        <f aca="true" t="shared" si="4" ref="J10:J16">D10+G10</f>
        <v>3148.7</v>
      </c>
    </row>
    <row r="11" spans="1:10" ht="29.25" customHeight="1">
      <c r="A11" s="288" t="s">
        <v>116</v>
      </c>
      <c r="B11" s="289">
        <v>545.3</v>
      </c>
      <c r="C11" s="289">
        <v>545.3</v>
      </c>
      <c r="D11" s="289">
        <v>545.3</v>
      </c>
      <c r="E11" s="289">
        <v>2245.4</v>
      </c>
      <c r="F11" s="289">
        <f t="shared" si="0"/>
        <v>2245.4</v>
      </c>
      <c r="G11" s="289">
        <f t="shared" si="0"/>
        <v>2245.4</v>
      </c>
      <c r="H11" s="289">
        <f t="shared" si="2"/>
        <v>2790.7</v>
      </c>
      <c r="I11" s="289">
        <f t="shared" si="3"/>
        <v>2790.7</v>
      </c>
      <c r="J11" s="289">
        <f t="shared" si="4"/>
        <v>2790.7</v>
      </c>
    </row>
    <row r="12" spans="1:10" ht="30" customHeight="1">
      <c r="A12" s="288" t="s">
        <v>112</v>
      </c>
      <c r="B12" s="289">
        <v>560</v>
      </c>
      <c r="C12" s="289">
        <v>560</v>
      </c>
      <c r="D12" s="289">
        <v>560</v>
      </c>
      <c r="E12" s="289">
        <v>2463.3</v>
      </c>
      <c r="F12" s="289">
        <f t="shared" si="0"/>
        <v>2463.3</v>
      </c>
      <c r="G12" s="289">
        <f t="shared" si="0"/>
        <v>2463.3</v>
      </c>
      <c r="H12" s="289">
        <f t="shared" si="2"/>
        <v>3023.3</v>
      </c>
      <c r="I12" s="289">
        <f t="shared" si="3"/>
        <v>3023.3</v>
      </c>
      <c r="J12" s="289">
        <f t="shared" si="4"/>
        <v>3023.3</v>
      </c>
    </row>
    <row r="13" spans="1:10" ht="30.75" customHeight="1">
      <c r="A13" s="288" t="s">
        <v>117</v>
      </c>
      <c r="B13" s="289">
        <v>660.8</v>
      </c>
      <c r="C13" s="289">
        <v>660.8</v>
      </c>
      <c r="D13" s="289">
        <v>660.8</v>
      </c>
      <c r="E13" s="289">
        <v>2325.1</v>
      </c>
      <c r="F13" s="289">
        <f t="shared" si="0"/>
        <v>2325.1</v>
      </c>
      <c r="G13" s="289">
        <f t="shared" si="0"/>
        <v>2325.1</v>
      </c>
      <c r="H13" s="289">
        <f t="shared" si="2"/>
        <v>2985.8999999999996</v>
      </c>
      <c r="I13" s="289">
        <f t="shared" si="3"/>
        <v>2985.8999999999996</v>
      </c>
      <c r="J13" s="289">
        <f t="shared" si="4"/>
        <v>2985.8999999999996</v>
      </c>
    </row>
    <row r="14" spans="1:10" ht="29.25" customHeight="1">
      <c r="A14" s="288" t="s">
        <v>118</v>
      </c>
      <c r="B14" s="289">
        <v>550.3</v>
      </c>
      <c r="C14" s="289">
        <v>550.3</v>
      </c>
      <c r="D14" s="289">
        <v>550.3</v>
      </c>
      <c r="E14" s="289">
        <v>2236.2</v>
      </c>
      <c r="F14" s="289">
        <f t="shared" si="0"/>
        <v>2236.2</v>
      </c>
      <c r="G14" s="289">
        <f t="shared" si="0"/>
        <v>2236.2</v>
      </c>
      <c r="H14" s="289">
        <f t="shared" si="2"/>
        <v>2786.5</v>
      </c>
      <c r="I14" s="289">
        <f t="shared" si="3"/>
        <v>2786.5</v>
      </c>
      <c r="J14" s="289">
        <f t="shared" si="4"/>
        <v>2786.5</v>
      </c>
    </row>
    <row r="15" spans="1:10" ht="30" customHeight="1">
      <c r="A15" s="288" t="s">
        <v>119</v>
      </c>
      <c r="B15" s="289">
        <v>1111.8</v>
      </c>
      <c r="C15" s="289">
        <v>1111.8</v>
      </c>
      <c r="D15" s="289">
        <v>1111.8</v>
      </c>
      <c r="E15" s="289">
        <v>2360.2</v>
      </c>
      <c r="F15" s="289">
        <f t="shared" si="0"/>
        <v>2360.2</v>
      </c>
      <c r="G15" s="289">
        <f t="shared" si="0"/>
        <v>2360.2</v>
      </c>
      <c r="H15" s="289">
        <f t="shared" si="2"/>
        <v>3472</v>
      </c>
      <c r="I15" s="289">
        <f t="shared" si="3"/>
        <v>3472</v>
      </c>
      <c r="J15" s="289">
        <f t="shared" si="4"/>
        <v>3472</v>
      </c>
    </row>
    <row r="16" spans="1:10" ht="30.75" customHeight="1">
      <c r="A16" s="288" t="s">
        <v>120</v>
      </c>
      <c r="B16" s="289">
        <v>1179.5</v>
      </c>
      <c r="C16" s="289">
        <v>1179.5</v>
      </c>
      <c r="D16" s="289">
        <v>1179.5</v>
      </c>
      <c r="E16" s="289">
        <v>3475.3</v>
      </c>
      <c r="F16" s="289">
        <f t="shared" si="0"/>
        <v>3475.3</v>
      </c>
      <c r="G16" s="289">
        <f t="shared" si="0"/>
        <v>3475.3</v>
      </c>
      <c r="H16" s="289">
        <f t="shared" si="2"/>
        <v>4654.8</v>
      </c>
      <c r="I16" s="289">
        <f t="shared" si="3"/>
        <v>4654.8</v>
      </c>
      <c r="J16" s="289">
        <f t="shared" si="4"/>
        <v>4654.8</v>
      </c>
    </row>
    <row r="17" spans="1:10" ht="39.75" customHeight="1">
      <c r="A17" s="290" t="s">
        <v>33</v>
      </c>
      <c r="B17" s="289">
        <f aca="true" t="shared" si="5" ref="B17:J17">SUM(B8:B16)</f>
        <v>10303.300000000001</v>
      </c>
      <c r="C17" s="289">
        <f t="shared" si="5"/>
        <v>10303.300000000001</v>
      </c>
      <c r="D17" s="289">
        <f t="shared" si="5"/>
        <v>10303.300000000001</v>
      </c>
      <c r="E17" s="289">
        <f t="shared" si="5"/>
        <v>36098.4</v>
      </c>
      <c r="F17" s="289">
        <f t="shared" si="5"/>
        <v>36098.4</v>
      </c>
      <c r="G17" s="289">
        <f t="shared" si="5"/>
        <v>36098.4</v>
      </c>
      <c r="H17" s="289">
        <f t="shared" si="5"/>
        <v>46401.700000000004</v>
      </c>
      <c r="I17" s="289">
        <f t="shared" si="5"/>
        <v>46401.700000000004</v>
      </c>
      <c r="J17" s="289">
        <f t="shared" si="5"/>
        <v>46401.700000000004</v>
      </c>
    </row>
    <row r="18" ht="15.75">
      <c r="A18" s="285"/>
    </row>
    <row r="19" ht="29.25" customHeight="1">
      <c r="A19" s="285"/>
    </row>
    <row r="20" ht="28.5" customHeight="1"/>
  </sheetData>
  <sheetProtection/>
  <mergeCells count="7">
    <mergeCell ref="A1:J1"/>
    <mergeCell ref="A2:J2"/>
    <mergeCell ref="A3:J3"/>
    <mergeCell ref="B5:D6"/>
    <mergeCell ref="E5:G6"/>
    <mergeCell ref="H5:J6"/>
    <mergeCell ref="A5:A7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47.75390625" style="314" customWidth="1"/>
    <col min="2" max="2" width="12.125" style="314" customWidth="1"/>
    <col min="3" max="3" width="12.375" style="314" customWidth="1"/>
    <col min="4" max="4" width="17.00390625" style="314" customWidth="1"/>
    <col min="5" max="5" width="19.25390625" style="314" customWidth="1"/>
    <col min="6" max="6" width="21.00390625" style="314" customWidth="1"/>
    <col min="7" max="16384" width="9.125" style="314" customWidth="1"/>
  </cols>
  <sheetData>
    <row r="1" spans="1:6" s="28" customFormat="1" ht="16.5" customHeight="1">
      <c r="A1" s="632" t="s">
        <v>107</v>
      </c>
      <c r="B1" s="632"/>
      <c r="C1" s="632"/>
      <c r="D1" s="632"/>
      <c r="E1" s="632"/>
      <c r="F1" s="632"/>
    </row>
    <row r="2" spans="1:6" ht="78" customHeight="1">
      <c r="A2" s="632" t="s">
        <v>549</v>
      </c>
      <c r="B2" s="632"/>
      <c r="C2" s="632"/>
      <c r="D2" s="632"/>
      <c r="E2" s="632"/>
      <c r="F2" s="632"/>
    </row>
    <row r="3" spans="1:6" ht="15.75">
      <c r="A3" s="317"/>
      <c r="B3" s="317"/>
      <c r="C3" s="317"/>
      <c r="D3" s="315"/>
      <c r="E3" s="315"/>
      <c r="F3" s="315" t="s">
        <v>392</v>
      </c>
    </row>
    <row r="4" spans="1:6" s="321" customFormat="1" ht="23.25" customHeight="1">
      <c r="A4" s="633" t="s">
        <v>304</v>
      </c>
      <c r="B4" s="634" t="s">
        <v>286</v>
      </c>
      <c r="C4" s="634"/>
      <c r="D4" s="634"/>
      <c r="E4" s="320" t="s">
        <v>287</v>
      </c>
      <c r="F4" s="320" t="s">
        <v>328</v>
      </c>
    </row>
    <row r="5" spans="1:6" s="318" customFormat="1" ht="118.5" customHeight="1">
      <c r="A5" s="633"/>
      <c r="B5" s="319" t="s">
        <v>393</v>
      </c>
      <c r="C5" s="319" t="s">
        <v>394</v>
      </c>
      <c r="D5" s="319" t="s">
        <v>395</v>
      </c>
      <c r="E5" s="319" t="s">
        <v>395</v>
      </c>
      <c r="F5" s="319" t="s">
        <v>395</v>
      </c>
    </row>
    <row r="6" spans="1:6" ht="15.75">
      <c r="A6" s="316" t="s">
        <v>118</v>
      </c>
      <c r="B6" s="316">
        <v>37</v>
      </c>
      <c r="C6" s="316">
        <v>1</v>
      </c>
      <c r="D6" s="316">
        <f aca="true" t="shared" si="0" ref="D6:D12">B6*C6</f>
        <v>37</v>
      </c>
      <c r="E6" s="316">
        <v>37</v>
      </c>
      <c r="F6" s="316">
        <v>37</v>
      </c>
    </row>
    <row r="7" spans="1:6" ht="15.75">
      <c r="A7" s="316" t="s">
        <v>113</v>
      </c>
      <c r="B7" s="316">
        <v>35</v>
      </c>
      <c r="C7" s="316">
        <v>1</v>
      </c>
      <c r="D7" s="316">
        <f t="shared" si="0"/>
        <v>35</v>
      </c>
      <c r="E7" s="316">
        <v>35</v>
      </c>
      <c r="F7" s="316">
        <v>35</v>
      </c>
    </row>
    <row r="8" spans="1:6" ht="15.75">
      <c r="A8" s="316" t="s">
        <v>120</v>
      </c>
      <c r="B8" s="316">
        <v>35</v>
      </c>
      <c r="C8" s="316">
        <v>1</v>
      </c>
      <c r="D8" s="316">
        <f t="shared" si="0"/>
        <v>35</v>
      </c>
      <c r="E8" s="316">
        <v>35</v>
      </c>
      <c r="F8" s="316">
        <v>35</v>
      </c>
    </row>
    <row r="9" spans="1:6" ht="15.75">
      <c r="A9" s="316" t="s">
        <v>119</v>
      </c>
      <c r="B9" s="316">
        <v>35</v>
      </c>
      <c r="C9" s="316">
        <v>1</v>
      </c>
      <c r="D9" s="316">
        <f t="shared" si="0"/>
        <v>35</v>
      </c>
      <c r="E9" s="316">
        <v>35</v>
      </c>
      <c r="F9" s="316">
        <v>35</v>
      </c>
    </row>
    <row r="10" spans="1:6" ht="15.75">
      <c r="A10" s="316" t="s">
        <v>116</v>
      </c>
      <c r="B10" s="316">
        <v>37.5</v>
      </c>
      <c r="C10" s="316">
        <v>1</v>
      </c>
      <c r="D10" s="316">
        <f t="shared" si="0"/>
        <v>37.5</v>
      </c>
      <c r="E10" s="316">
        <v>37.5</v>
      </c>
      <c r="F10" s="316">
        <v>37.5</v>
      </c>
    </row>
    <row r="11" spans="1:6" ht="15.75">
      <c r="A11" s="316" t="s">
        <v>112</v>
      </c>
      <c r="B11" s="316">
        <v>35.5</v>
      </c>
      <c r="C11" s="316">
        <v>1</v>
      </c>
      <c r="D11" s="316">
        <f t="shared" si="0"/>
        <v>35.5</v>
      </c>
      <c r="E11" s="316">
        <v>35.5</v>
      </c>
      <c r="F11" s="316">
        <v>35.5</v>
      </c>
    </row>
    <row r="12" spans="1:6" ht="15.75">
      <c r="A12" s="316" t="s">
        <v>117</v>
      </c>
      <c r="B12" s="316">
        <v>35</v>
      </c>
      <c r="C12" s="316">
        <v>1</v>
      </c>
      <c r="D12" s="316">
        <f t="shared" si="0"/>
        <v>35</v>
      </c>
      <c r="E12" s="316">
        <v>35</v>
      </c>
      <c r="F12" s="316">
        <v>35</v>
      </c>
    </row>
    <row r="13" spans="1:6" s="28" customFormat="1" ht="15.75">
      <c r="A13" s="322" t="s">
        <v>33</v>
      </c>
      <c r="B13" s="322"/>
      <c r="C13" s="322"/>
      <c r="D13" s="316">
        <f>SUM(D6:D12)</f>
        <v>250</v>
      </c>
      <c r="E13" s="316">
        <f>SUM(E6:E12)</f>
        <v>250</v>
      </c>
      <c r="F13" s="316">
        <f>SUM(F6:F12)</f>
        <v>250</v>
      </c>
    </row>
  </sheetData>
  <sheetProtection/>
  <mergeCells count="4">
    <mergeCell ref="A2:F2"/>
    <mergeCell ref="A4:A5"/>
    <mergeCell ref="B4:D4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41.75390625" style="314" customWidth="1"/>
    <col min="2" max="2" width="14.125" style="314" customWidth="1"/>
    <col min="3" max="3" width="13.75390625" style="314" customWidth="1"/>
    <col min="4" max="4" width="17.00390625" style="314" customWidth="1"/>
    <col min="5" max="5" width="18.625" style="314" customWidth="1"/>
    <col min="6" max="6" width="22.00390625" style="314" customWidth="1"/>
    <col min="7" max="16384" width="9.125" style="314" customWidth="1"/>
  </cols>
  <sheetData>
    <row r="1" spans="1:6" ht="15.75">
      <c r="A1" s="624" t="s">
        <v>107</v>
      </c>
      <c r="B1" s="624"/>
      <c r="C1" s="624"/>
      <c r="D1" s="624"/>
      <c r="E1" s="624"/>
      <c r="F1" s="624"/>
    </row>
    <row r="2" spans="1:6" ht="45.75" customHeight="1">
      <c r="A2" s="632" t="s">
        <v>396</v>
      </c>
      <c r="B2" s="632"/>
      <c r="C2" s="632"/>
      <c r="D2" s="632"/>
      <c r="E2" s="632"/>
      <c r="F2" s="632"/>
    </row>
    <row r="3" spans="1:6" ht="37.5" customHeight="1">
      <c r="A3" s="317"/>
      <c r="B3" s="317"/>
      <c r="C3" s="317"/>
      <c r="D3" s="315"/>
      <c r="E3" s="315"/>
      <c r="F3" s="315" t="s">
        <v>392</v>
      </c>
    </row>
    <row r="4" spans="1:6" s="321" customFormat="1" ht="23.25" customHeight="1">
      <c r="A4" s="633" t="s">
        <v>304</v>
      </c>
      <c r="B4" s="634" t="s">
        <v>286</v>
      </c>
      <c r="C4" s="634"/>
      <c r="D4" s="634"/>
      <c r="E4" s="320" t="s">
        <v>287</v>
      </c>
      <c r="F4" s="320" t="s">
        <v>328</v>
      </c>
    </row>
    <row r="5" spans="1:6" ht="125.25" customHeight="1">
      <c r="A5" s="633"/>
      <c r="B5" s="319" t="s">
        <v>393</v>
      </c>
      <c r="C5" s="319" t="s">
        <v>394</v>
      </c>
      <c r="D5" s="319" t="s">
        <v>395</v>
      </c>
      <c r="E5" s="319" t="s">
        <v>395</v>
      </c>
      <c r="F5" s="319" t="s">
        <v>395</v>
      </c>
    </row>
    <row r="6" spans="1:6" ht="15.75">
      <c r="A6" s="316" t="s">
        <v>112</v>
      </c>
      <c r="B6" s="316">
        <v>55</v>
      </c>
      <c r="C6" s="316">
        <v>1</v>
      </c>
      <c r="D6" s="316">
        <f>B6*C6</f>
        <v>55</v>
      </c>
      <c r="E6" s="316">
        <v>55</v>
      </c>
      <c r="F6" s="316">
        <v>55</v>
      </c>
    </row>
    <row r="7" spans="1:6" ht="15.75">
      <c r="A7" s="316" t="s">
        <v>116</v>
      </c>
      <c r="B7" s="316">
        <v>9</v>
      </c>
      <c r="C7" s="316">
        <v>1</v>
      </c>
      <c r="D7" s="316">
        <f>B7*C7</f>
        <v>9</v>
      </c>
      <c r="E7" s="316">
        <v>9</v>
      </c>
      <c r="F7" s="316">
        <v>9</v>
      </c>
    </row>
    <row r="8" spans="1:6" ht="15.75">
      <c r="A8" s="316" t="s">
        <v>113</v>
      </c>
      <c r="B8" s="316">
        <v>36</v>
      </c>
      <c r="C8" s="316">
        <v>1</v>
      </c>
      <c r="D8" s="316">
        <f>B8*C8</f>
        <v>36</v>
      </c>
      <c r="E8" s="316">
        <v>36</v>
      </c>
      <c r="F8" s="316">
        <v>36</v>
      </c>
    </row>
    <row r="9" spans="1:6" s="28" customFormat="1" ht="15.75">
      <c r="A9" s="322" t="s">
        <v>33</v>
      </c>
      <c r="B9" s="322"/>
      <c r="C9" s="322"/>
      <c r="D9" s="316">
        <f>SUM(D6:D8)</f>
        <v>100</v>
      </c>
      <c r="E9" s="316">
        <f>SUM(E6:E8)</f>
        <v>100</v>
      </c>
      <c r="F9" s="316">
        <f>SUM(F6:F8)</f>
        <v>100</v>
      </c>
    </row>
  </sheetData>
  <sheetProtection/>
  <mergeCells count="4">
    <mergeCell ref="A2:F2"/>
    <mergeCell ref="A4:A5"/>
    <mergeCell ref="B4:D4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40.125" style="314" customWidth="1"/>
    <col min="2" max="2" width="12.375" style="314" customWidth="1"/>
    <col min="3" max="3" width="12.25390625" style="314" customWidth="1"/>
    <col min="4" max="4" width="18.00390625" style="314" customWidth="1"/>
    <col min="5" max="5" width="17.375" style="314" customWidth="1"/>
    <col min="6" max="6" width="19.375" style="314" customWidth="1"/>
    <col min="7" max="16384" width="9.125" style="314" customWidth="1"/>
  </cols>
  <sheetData>
    <row r="1" spans="1:6" ht="15.75">
      <c r="A1" s="632" t="s">
        <v>107</v>
      </c>
      <c r="B1" s="632"/>
      <c r="C1" s="632"/>
      <c r="D1" s="632"/>
      <c r="E1" s="632"/>
      <c r="F1" s="632"/>
    </row>
    <row r="2" spans="1:6" ht="47.25" customHeight="1">
      <c r="A2" s="632" t="s">
        <v>397</v>
      </c>
      <c r="B2" s="632"/>
      <c r="C2" s="632"/>
      <c r="D2" s="632"/>
      <c r="E2" s="632"/>
      <c r="F2" s="632"/>
    </row>
    <row r="3" spans="1:6" ht="16.5" customHeight="1">
      <c r="A3" s="317"/>
      <c r="B3" s="317"/>
      <c r="C3" s="317"/>
      <c r="D3" s="315"/>
      <c r="E3" s="315"/>
      <c r="F3" s="315" t="s">
        <v>392</v>
      </c>
    </row>
    <row r="4" spans="1:6" s="321" customFormat="1" ht="24.75" customHeight="1">
      <c r="A4" s="633" t="s">
        <v>304</v>
      </c>
      <c r="B4" s="634" t="s">
        <v>286</v>
      </c>
      <c r="C4" s="634"/>
      <c r="D4" s="634"/>
      <c r="E4" s="320" t="s">
        <v>287</v>
      </c>
      <c r="F4" s="320" t="s">
        <v>328</v>
      </c>
    </row>
    <row r="5" spans="1:6" ht="75">
      <c r="A5" s="633"/>
      <c r="B5" s="319" t="s">
        <v>393</v>
      </c>
      <c r="C5" s="319" t="s">
        <v>394</v>
      </c>
      <c r="D5" s="319" t="s">
        <v>395</v>
      </c>
      <c r="E5" s="319" t="s">
        <v>395</v>
      </c>
      <c r="F5" s="319" t="s">
        <v>395</v>
      </c>
    </row>
    <row r="6" spans="1:6" ht="15.75">
      <c r="A6" s="323" t="s">
        <v>10</v>
      </c>
      <c r="B6" s="324">
        <v>30</v>
      </c>
      <c r="C6" s="324">
        <v>1</v>
      </c>
      <c r="D6" s="324">
        <f>B6*C6</f>
        <v>30</v>
      </c>
      <c r="E6" s="324">
        <v>30</v>
      </c>
      <c r="F6" s="324">
        <v>30</v>
      </c>
    </row>
    <row r="7" spans="1:6" ht="15.75">
      <c r="A7" s="316" t="s">
        <v>109</v>
      </c>
      <c r="B7" s="316">
        <v>40</v>
      </c>
      <c r="C7" s="316">
        <v>1</v>
      </c>
      <c r="D7" s="324">
        <f>B7*C7</f>
        <v>40</v>
      </c>
      <c r="E7" s="324">
        <v>40</v>
      </c>
      <c r="F7" s="324">
        <v>40</v>
      </c>
    </row>
    <row r="8" spans="1:6" ht="15.75">
      <c r="A8" s="316" t="s">
        <v>113</v>
      </c>
      <c r="B8" s="316">
        <v>30</v>
      </c>
      <c r="C8" s="316">
        <v>2</v>
      </c>
      <c r="D8" s="324">
        <f>B8*C8</f>
        <v>60</v>
      </c>
      <c r="E8" s="324">
        <v>60</v>
      </c>
      <c r="F8" s="324">
        <v>60</v>
      </c>
    </row>
    <row r="9" spans="1:6" s="28" customFormat="1" ht="15.75">
      <c r="A9" s="322" t="s">
        <v>33</v>
      </c>
      <c r="B9" s="322"/>
      <c r="C9" s="322"/>
      <c r="D9" s="316">
        <f>SUM(D6:D8)</f>
        <v>130</v>
      </c>
      <c r="E9" s="316">
        <f>SUM(E6:E8)</f>
        <v>130</v>
      </c>
      <c r="F9" s="316">
        <f>SUM(F6:F8)</f>
        <v>130</v>
      </c>
    </row>
  </sheetData>
  <sheetProtection/>
  <mergeCells count="4">
    <mergeCell ref="A2:F2"/>
    <mergeCell ref="A4:A5"/>
    <mergeCell ref="B4:D4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6.75390625" style="28" customWidth="1"/>
    <col min="2" max="2" width="11.25390625" style="28" customWidth="1"/>
    <col min="3" max="3" width="34.25390625" style="28" customWidth="1"/>
    <col min="4" max="4" width="16.75390625" style="28" customWidth="1"/>
    <col min="5" max="5" width="17.00390625" style="28" customWidth="1"/>
    <col min="6" max="6" width="18.375" style="28" customWidth="1"/>
    <col min="7" max="16384" width="9.125" style="28" customWidth="1"/>
  </cols>
  <sheetData>
    <row r="1" spans="1:6" ht="15.75">
      <c r="A1" s="624" t="s">
        <v>107</v>
      </c>
      <c r="B1" s="624"/>
      <c r="C1" s="624"/>
      <c r="D1" s="624"/>
      <c r="E1" s="624"/>
      <c r="F1" s="624"/>
    </row>
    <row r="2" spans="1:6" ht="75" customHeight="1">
      <c r="A2" s="632" t="s">
        <v>402</v>
      </c>
      <c r="B2" s="632"/>
      <c r="C2" s="632"/>
      <c r="D2" s="632"/>
      <c r="E2" s="632"/>
      <c r="F2" s="632"/>
    </row>
    <row r="3" spans="1:6" ht="16.5" customHeight="1">
      <c r="A3" s="317"/>
      <c r="D3" s="308"/>
      <c r="E3" s="308"/>
      <c r="F3" s="308" t="s">
        <v>392</v>
      </c>
    </row>
    <row r="4" spans="1:6" ht="15.75">
      <c r="A4" s="635" t="s">
        <v>4</v>
      </c>
      <c r="B4" s="636" t="s">
        <v>286</v>
      </c>
      <c r="C4" s="636"/>
      <c r="D4" s="636"/>
      <c r="E4" s="320" t="s">
        <v>287</v>
      </c>
      <c r="F4" s="320" t="s">
        <v>328</v>
      </c>
    </row>
    <row r="5" spans="1:6" s="326" customFormat="1" ht="96.75" customHeight="1">
      <c r="A5" s="635"/>
      <c r="B5" s="325" t="s">
        <v>398</v>
      </c>
      <c r="C5" s="325" t="s">
        <v>399</v>
      </c>
      <c r="D5" s="325" t="s">
        <v>400</v>
      </c>
      <c r="E5" s="325" t="s">
        <v>400</v>
      </c>
      <c r="F5" s="325" t="s">
        <v>400</v>
      </c>
    </row>
    <row r="6" spans="1:6" ht="27" customHeight="1">
      <c r="A6" s="323" t="s">
        <v>10</v>
      </c>
      <c r="B6" s="327">
        <v>365</v>
      </c>
      <c r="C6" s="327">
        <v>1</v>
      </c>
      <c r="D6" s="327">
        <f>B6*C6</f>
        <v>365</v>
      </c>
      <c r="E6" s="327">
        <v>365</v>
      </c>
      <c r="F6" s="327">
        <v>365</v>
      </c>
    </row>
  </sheetData>
  <sheetProtection/>
  <mergeCells count="4">
    <mergeCell ref="A2:F2"/>
    <mergeCell ref="A4:A5"/>
    <mergeCell ref="B4:D4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34.875" style="28" customWidth="1"/>
    <col min="2" max="2" width="16.00390625" style="28" customWidth="1"/>
    <col min="3" max="3" width="26.875" style="28" customWidth="1"/>
    <col min="4" max="4" width="17.00390625" style="28" customWidth="1"/>
    <col min="5" max="5" width="17.125" style="28" customWidth="1"/>
    <col min="6" max="6" width="18.375" style="28" customWidth="1"/>
    <col min="7" max="16384" width="9.125" style="28" customWidth="1"/>
  </cols>
  <sheetData>
    <row r="1" spans="1:6" ht="15.75">
      <c r="A1" s="624" t="s">
        <v>107</v>
      </c>
      <c r="B1" s="624"/>
      <c r="C1" s="624"/>
      <c r="D1" s="624"/>
      <c r="E1" s="624"/>
      <c r="F1" s="624"/>
    </row>
    <row r="2" spans="1:6" ht="60.75" customHeight="1">
      <c r="A2" s="632" t="s">
        <v>403</v>
      </c>
      <c r="B2" s="632"/>
      <c r="C2" s="632"/>
      <c r="D2" s="632"/>
      <c r="E2" s="632"/>
      <c r="F2" s="632"/>
    </row>
    <row r="4" spans="1:6" ht="15.75">
      <c r="A4" s="317"/>
      <c r="D4" s="308"/>
      <c r="F4" s="308" t="s">
        <v>392</v>
      </c>
    </row>
    <row r="5" spans="1:6" s="321" customFormat="1" ht="30.75" customHeight="1">
      <c r="A5" s="635" t="s">
        <v>304</v>
      </c>
      <c r="B5" s="634" t="s">
        <v>286</v>
      </c>
      <c r="C5" s="634"/>
      <c r="D5" s="634"/>
      <c r="E5" s="320" t="s">
        <v>287</v>
      </c>
      <c r="F5" s="320" t="s">
        <v>328</v>
      </c>
    </row>
    <row r="6" spans="1:6" ht="129.75" customHeight="1">
      <c r="A6" s="635"/>
      <c r="B6" s="325" t="s">
        <v>398</v>
      </c>
      <c r="C6" s="325" t="s">
        <v>404</v>
      </c>
      <c r="D6" s="325" t="s">
        <v>400</v>
      </c>
      <c r="E6" s="325" t="s">
        <v>398</v>
      </c>
      <c r="F6" s="325" t="s">
        <v>400</v>
      </c>
    </row>
    <row r="7" spans="1:6" ht="21" customHeight="1">
      <c r="A7" s="323" t="s">
        <v>10</v>
      </c>
      <c r="B7" s="327">
        <v>271.5</v>
      </c>
      <c r="C7" s="327">
        <v>1</v>
      </c>
      <c r="D7" s="327">
        <v>271.5</v>
      </c>
      <c r="E7" s="327">
        <v>271.5</v>
      </c>
      <c r="F7" s="327">
        <v>271.5</v>
      </c>
    </row>
    <row r="8" spans="1:6" ht="21.75" customHeight="1">
      <c r="A8" s="323" t="s">
        <v>120</v>
      </c>
      <c r="B8" s="328">
        <v>250</v>
      </c>
      <c r="C8" s="327">
        <v>1</v>
      </c>
      <c r="D8" s="328">
        <v>250</v>
      </c>
      <c r="E8" s="328">
        <v>250</v>
      </c>
      <c r="F8" s="328">
        <v>250</v>
      </c>
    </row>
    <row r="9" spans="1:6" ht="20.25" customHeight="1">
      <c r="A9" s="322" t="s">
        <v>33</v>
      </c>
      <c r="B9" s="311"/>
      <c r="C9" s="311"/>
      <c r="D9" s="311">
        <f>SUM(D7:D8)</f>
        <v>521.5</v>
      </c>
      <c r="E9" s="311">
        <f>SUM(E7:E8)</f>
        <v>521.5</v>
      </c>
      <c r="F9" s="311">
        <f>SUM(F7:F8)</f>
        <v>521.5</v>
      </c>
    </row>
  </sheetData>
  <sheetProtection/>
  <mergeCells count="4">
    <mergeCell ref="A1:F1"/>
    <mergeCell ref="A2:F2"/>
    <mergeCell ref="A5:A6"/>
    <mergeCell ref="B5:D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F11" sqref="F11"/>
    </sheetView>
  </sheetViews>
  <sheetFormatPr defaultColWidth="14.00390625" defaultRowHeight="12.75"/>
  <cols>
    <col min="1" max="1" width="30.75390625" style="390" customWidth="1"/>
    <col min="2" max="2" width="13.25390625" style="390" customWidth="1"/>
    <col min="3" max="3" width="10.75390625" style="390" customWidth="1"/>
    <col min="4" max="4" width="19.375" style="390" customWidth="1"/>
    <col min="5" max="5" width="16.375" style="390" customWidth="1"/>
    <col min="6" max="6" width="13.125" style="390" customWidth="1"/>
    <col min="7" max="7" width="16.125" style="390" customWidth="1"/>
    <col min="8" max="8" width="12.00390625" style="390" customWidth="1"/>
    <col min="9" max="9" width="11.00390625" style="390" customWidth="1"/>
    <col min="10" max="10" width="9.125" style="390" customWidth="1"/>
    <col min="11" max="11" width="10.75390625" style="390" bestFit="1" customWidth="1"/>
    <col min="12" max="252" width="9.125" style="390" customWidth="1"/>
    <col min="253" max="253" width="23.625" style="390" customWidth="1"/>
    <col min="254" max="254" width="11.375" style="390" customWidth="1"/>
    <col min="255" max="255" width="27.625" style="390" customWidth="1"/>
    <col min="256" max="16384" width="14.00390625" style="390" customWidth="1"/>
  </cols>
  <sheetData>
    <row r="1" spans="1:9" ht="15.75">
      <c r="A1" s="641" t="s">
        <v>107</v>
      </c>
      <c r="B1" s="641"/>
      <c r="C1" s="641"/>
      <c r="D1" s="641"/>
      <c r="E1" s="641"/>
      <c r="F1" s="641"/>
      <c r="G1" s="641"/>
      <c r="H1" s="641"/>
      <c r="I1" s="641"/>
    </row>
    <row r="2" spans="1:9" ht="70.5" customHeight="1">
      <c r="A2" s="640" t="s">
        <v>487</v>
      </c>
      <c r="B2" s="640"/>
      <c r="C2" s="640"/>
      <c r="D2" s="640"/>
      <c r="E2" s="640"/>
      <c r="F2" s="640"/>
      <c r="G2" s="640"/>
      <c r="H2" s="640"/>
      <c r="I2" s="640"/>
    </row>
    <row r="3" spans="1:7" ht="15.75">
      <c r="A3" s="396"/>
      <c r="B3" s="396"/>
      <c r="C3" s="396"/>
      <c r="D3" s="396"/>
      <c r="E3" s="396"/>
      <c r="F3" s="396"/>
      <c r="G3" s="396"/>
    </row>
    <row r="4" spans="1:9" ht="15.75">
      <c r="A4" s="396"/>
      <c r="B4" s="396"/>
      <c r="C4" s="396"/>
      <c r="D4" s="396"/>
      <c r="E4" s="396"/>
      <c r="F4" s="396"/>
      <c r="I4" s="391" t="s">
        <v>103</v>
      </c>
    </row>
    <row r="5" spans="1:9" ht="15.75">
      <c r="A5" s="642" t="s">
        <v>481</v>
      </c>
      <c r="B5" s="637" t="s">
        <v>484</v>
      </c>
      <c r="C5" s="637" t="s">
        <v>488</v>
      </c>
      <c r="D5" s="637" t="s">
        <v>489</v>
      </c>
      <c r="E5" s="637" t="s">
        <v>490</v>
      </c>
      <c r="F5" s="637" t="s">
        <v>485</v>
      </c>
      <c r="G5" s="637" t="s">
        <v>486</v>
      </c>
      <c r="H5" s="637" t="s">
        <v>287</v>
      </c>
      <c r="I5" s="637" t="s">
        <v>328</v>
      </c>
    </row>
    <row r="6" spans="1:9" ht="66" customHeight="1">
      <c r="A6" s="642"/>
      <c r="B6" s="643"/>
      <c r="C6" s="638"/>
      <c r="D6" s="638"/>
      <c r="E6" s="638"/>
      <c r="F6" s="638"/>
      <c r="G6" s="638"/>
      <c r="H6" s="639"/>
      <c r="I6" s="639"/>
    </row>
    <row r="7" spans="1:9" ht="15.75">
      <c r="A7" s="392">
        <v>1</v>
      </c>
      <c r="B7" s="393">
        <v>2</v>
      </c>
      <c r="C7" s="392">
        <v>3</v>
      </c>
      <c r="D7" s="393">
        <v>4</v>
      </c>
      <c r="E7" s="392">
        <v>5</v>
      </c>
      <c r="F7" s="393">
        <v>6</v>
      </c>
      <c r="G7" s="392">
        <v>7</v>
      </c>
      <c r="H7" s="392">
        <v>8</v>
      </c>
      <c r="I7" s="393">
        <v>9</v>
      </c>
    </row>
    <row r="8" spans="1:9" ht="21.75" customHeight="1">
      <c r="A8" s="169" t="s">
        <v>120</v>
      </c>
      <c r="B8" s="395">
        <v>2</v>
      </c>
      <c r="C8" s="397">
        <v>30580</v>
      </c>
      <c r="D8" s="397">
        <f>C8*0.2*2.5</f>
        <v>15290</v>
      </c>
      <c r="E8" s="397">
        <f>D8*0.302</f>
        <v>4617.58</v>
      </c>
      <c r="F8" s="397">
        <f>D8+E8</f>
        <v>19907.58</v>
      </c>
      <c r="G8" s="397">
        <v>238.9</v>
      </c>
      <c r="H8" s="397">
        <f aca="true" t="shared" si="0" ref="H8:I12">G8</f>
        <v>238.9</v>
      </c>
      <c r="I8" s="397">
        <f t="shared" si="0"/>
        <v>238.9</v>
      </c>
    </row>
    <row r="9" spans="1:9" ht="15.75">
      <c r="A9" s="169" t="s">
        <v>113</v>
      </c>
      <c r="B9" s="395">
        <v>3</v>
      </c>
      <c r="C9" s="397">
        <v>35160</v>
      </c>
      <c r="D9" s="397">
        <f>C9*0.2*2.5</f>
        <v>17580</v>
      </c>
      <c r="E9" s="397">
        <f>D9*0.302</f>
        <v>5309.16</v>
      </c>
      <c r="F9" s="397">
        <f>D9+E9</f>
        <v>22889.16</v>
      </c>
      <c r="G9" s="397">
        <v>274.7</v>
      </c>
      <c r="H9" s="397">
        <f t="shared" si="0"/>
        <v>274.7</v>
      </c>
      <c r="I9" s="397">
        <f t="shared" si="0"/>
        <v>274.7</v>
      </c>
    </row>
    <row r="10" spans="1:9" ht="31.5">
      <c r="A10" s="169" t="s">
        <v>109</v>
      </c>
      <c r="B10" s="395">
        <v>2</v>
      </c>
      <c r="C10" s="397">
        <v>35040</v>
      </c>
      <c r="D10" s="397">
        <f>C10*0.2*2.5</f>
        <v>17520</v>
      </c>
      <c r="E10" s="397">
        <f>D10*0.302</f>
        <v>5291.04</v>
      </c>
      <c r="F10" s="397">
        <f>D10+E10</f>
        <v>22811.04</v>
      </c>
      <c r="G10" s="397">
        <v>273.7</v>
      </c>
      <c r="H10" s="397">
        <f t="shared" si="0"/>
        <v>273.7</v>
      </c>
      <c r="I10" s="397">
        <f t="shared" si="0"/>
        <v>273.7</v>
      </c>
    </row>
    <row r="11" spans="1:9" ht="15.75">
      <c r="A11" s="169" t="s">
        <v>10</v>
      </c>
      <c r="B11" s="395">
        <v>9</v>
      </c>
      <c r="C11" s="397">
        <v>113755</v>
      </c>
      <c r="D11" s="397">
        <v>56877.5</v>
      </c>
      <c r="E11" s="397">
        <v>17177.005</v>
      </c>
      <c r="F11" s="397">
        <v>74054.505</v>
      </c>
      <c r="G11" s="397">
        <v>888.6</v>
      </c>
      <c r="H11" s="397">
        <f t="shared" si="0"/>
        <v>888.6</v>
      </c>
      <c r="I11" s="397">
        <f t="shared" si="0"/>
        <v>888.6</v>
      </c>
    </row>
    <row r="12" spans="1:9" ht="31.5">
      <c r="A12" s="169" t="s">
        <v>116</v>
      </c>
      <c r="B12" s="395">
        <v>1</v>
      </c>
      <c r="C12" s="397">
        <v>12110</v>
      </c>
      <c r="D12" s="397">
        <f>C12*0.2*2.7</f>
        <v>6539.400000000001</v>
      </c>
      <c r="E12" s="397">
        <f>D12*0.302</f>
        <v>1974.8988000000002</v>
      </c>
      <c r="F12" s="397">
        <f>D12+E12</f>
        <v>8514.2988</v>
      </c>
      <c r="G12" s="397">
        <v>102.2</v>
      </c>
      <c r="H12" s="397">
        <f t="shared" si="0"/>
        <v>102.2</v>
      </c>
      <c r="I12" s="397">
        <f t="shared" si="0"/>
        <v>102.2</v>
      </c>
    </row>
    <row r="13" spans="1:9" ht="15.75">
      <c r="A13" s="394" t="s">
        <v>12</v>
      </c>
      <c r="B13" s="395">
        <f>B8+B9+B10+B11+B12</f>
        <v>17</v>
      </c>
      <c r="C13" s="397">
        <f aca="true" t="shared" si="1" ref="C13:I13">+C8+C9+C10+C11+C12</f>
        <v>226645</v>
      </c>
      <c r="D13" s="397">
        <f t="shared" si="1"/>
        <v>113806.9</v>
      </c>
      <c r="E13" s="397">
        <f t="shared" si="1"/>
        <v>34369.6838</v>
      </c>
      <c r="F13" s="397">
        <f t="shared" si="1"/>
        <v>148176.5838</v>
      </c>
      <c r="G13" s="398">
        <f t="shared" si="1"/>
        <v>1778.1000000000001</v>
      </c>
      <c r="H13" s="398">
        <f t="shared" si="1"/>
        <v>1778.1000000000001</v>
      </c>
      <c r="I13" s="398">
        <f t="shared" si="1"/>
        <v>1778.1000000000001</v>
      </c>
    </row>
  </sheetData>
  <sheetProtection/>
  <mergeCells count="11">
    <mergeCell ref="F5:F6"/>
    <mergeCell ref="G5:G6"/>
    <mergeCell ref="H5:H6"/>
    <mergeCell ref="I5:I6"/>
    <mergeCell ref="A2:I2"/>
    <mergeCell ref="A1:I1"/>
    <mergeCell ref="A5:A6"/>
    <mergeCell ref="B5:B6"/>
    <mergeCell ref="C5:C6"/>
    <mergeCell ref="D5:D6"/>
    <mergeCell ref="E5:E6"/>
  </mergeCells>
  <printOptions/>
  <pageMargins left="0.39" right="0.33" top="0.75" bottom="0.75" header="0.3" footer="0.3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"/>
  <sheetViews>
    <sheetView zoomScalePageLayoutView="0" workbookViewId="0" topLeftCell="A10">
      <selection activeCell="K19" sqref="K19"/>
    </sheetView>
  </sheetViews>
  <sheetFormatPr defaultColWidth="9.00390625" defaultRowHeight="12.75"/>
  <cols>
    <col min="1" max="1" width="48.00390625" style="329" customWidth="1"/>
    <col min="2" max="2" width="9.625" style="330" hidden="1" customWidth="1"/>
    <col min="3" max="3" width="17.875" style="330" customWidth="1"/>
    <col min="4" max="4" width="12.00390625" style="330" customWidth="1"/>
    <col min="5" max="5" width="17.625" style="330" customWidth="1"/>
    <col min="6" max="6" width="16.375" style="330" customWidth="1"/>
    <col min="7" max="7" width="18.875" style="330" customWidth="1"/>
    <col min="8" max="8" width="17.75390625" style="330" customWidth="1"/>
    <col min="9" max="9" width="17.375" style="330" customWidth="1"/>
    <col min="10" max="10" width="16.75390625" style="330" customWidth="1"/>
    <col min="11" max="11" width="18.25390625" style="330" customWidth="1"/>
    <col min="12" max="12" width="16.125" style="330" customWidth="1"/>
    <col min="13" max="13" width="29.00390625" style="329" hidden="1" customWidth="1"/>
    <col min="14" max="14" width="9.375" style="329" bestFit="1" customWidth="1"/>
    <col min="15" max="16384" width="9.125" style="329" customWidth="1"/>
  </cols>
  <sheetData>
    <row r="1" spans="1:13" ht="52.5" customHeight="1">
      <c r="A1" s="644" t="s">
        <v>405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</row>
    <row r="2" ht="15.75">
      <c r="L2" s="348" t="s">
        <v>406</v>
      </c>
    </row>
    <row r="3" spans="1:13" s="271" customFormat="1" ht="47.25">
      <c r="A3" s="347" t="s">
        <v>3</v>
      </c>
      <c r="B3" s="347"/>
      <c r="C3" s="347" t="s">
        <v>407</v>
      </c>
      <c r="D3" s="347" t="s">
        <v>10</v>
      </c>
      <c r="E3" s="347" t="s">
        <v>113</v>
      </c>
      <c r="F3" s="347" t="s">
        <v>408</v>
      </c>
      <c r="G3" s="347" t="s">
        <v>116</v>
      </c>
      <c r="H3" s="347" t="s">
        <v>112</v>
      </c>
      <c r="I3" s="347" t="s">
        <v>409</v>
      </c>
      <c r="J3" s="347" t="s">
        <v>410</v>
      </c>
      <c r="K3" s="347" t="s">
        <v>411</v>
      </c>
      <c r="L3" s="347" t="s">
        <v>120</v>
      </c>
      <c r="M3" s="214" t="s">
        <v>412</v>
      </c>
    </row>
    <row r="4" spans="1:13" ht="29.25" customHeight="1">
      <c r="A4" s="332" t="s">
        <v>413</v>
      </c>
      <c r="B4" s="333"/>
      <c r="C4" s="334">
        <f>SUM(D4:L4)</f>
        <v>10</v>
      </c>
      <c r="D4" s="334">
        <v>2</v>
      </c>
      <c r="E4" s="334">
        <v>1</v>
      </c>
      <c r="F4" s="334">
        <v>1</v>
      </c>
      <c r="G4" s="334">
        <v>1</v>
      </c>
      <c r="H4" s="334">
        <v>1</v>
      </c>
      <c r="I4" s="334">
        <v>1</v>
      </c>
      <c r="J4" s="334">
        <v>1</v>
      </c>
      <c r="K4" s="334">
        <v>1</v>
      </c>
      <c r="L4" s="334">
        <v>1</v>
      </c>
      <c r="M4" s="335"/>
    </row>
    <row r="5" spans="1:13" ht="49.5" customHeight="1">
      <c r="A5" s="336" t="s">
        <v>414</v>
      </c>
      <c r="B5" s="331"/>
      <c r="C5" s="334">
        <v>0</v>
      </c>
      <c r="D5" s="337">
        <f>5.325</f>
        <v>5.325</v>
      </c>
      <c r="E5" s="337">
        <f>5.325</f>
        <v>5.325</v>
      </c>
      <c r="F5" s="337">
        <f>5.321</f>
        <v>5.321</v>
      </c>
      <c r="G5" s="337">
        <f>5.51</f>
        <v>5.51</v>
      </c>
      <c r="H5" s="337">
        <f>5.196</f>
        <v>5.196</v>
      </c>
      <c r="I5" s="337">
        <f>5.325</f>
        <v>5.325</v>
      </c>
      <c r="J5" s="337">
        <f>5.322</f>
        <v>5.322</v>
      </c>
      <c r="K5" s="337">
        <f>5.325</f>
        <v>5.325</v>
      </c>
      <c r="L5" s="337">
        <f>5.319</f>
        <v>5.319</v>
      </c>
      <c r="M5" s="335"/>
    </row>
    <row r="6" spans="1:13" ht="60" customHeight="1">
      <c r="A6" s="336" t="s">
        <v>415</v>
      </c>
      <c r="B6" s="331"/>
      <c r="C6" s="334">
        <v>0</v>
      </c>
      <c r="D6" s="337">
        <v>56.329</v>
      </c>
      <c r="E6" s="337">
        <v>59.901</v>
      </c>
      <c r="F6" s="337">
        <v>57.8</v>
      </c>
      <c r="G6" s="337">
        <v>56.463</v>
      </c>
      <c r="H6" s="337">
        <v>56</v>
      </c>
      <c r="I6" s="337">
        <v>55.737</v>
      </c>
      <c r="J6" s="337">
        <v>56</v>
      </c>
      <c r="K6" s="337">
        <v>54.279</v>
      </c>
      <c r="L6" s="337">
        <v>61.999</v>
      </c>
      <c r="M6" s="335"/>
    </row>
    <row r="7" spans="1:13" ht="69" customHeight="1">
      <c r="A7" s="336" t="s">
        <v>416</v>
      </c>
      <c r="B7" s="331"/>
      <c r="C7" s="334">
        <v>0</v>
      </c>
      <c r="D7" s="337">
        <v>2.5</v>
      </c>
      <c r="E7" s="337">
        <v>2.5</v>
      </c>
      <c r="F7" s="337">
        <v>2.5</v>
      </c>
      <c r="G7" s="337">
        <v>2.7</v>
      </c>
      <c r="H7" s="337">
        <v>2.5</v>
      </c>
      <c r="I7" s="337">
        <v>2.5</v>
      </c>
      <c r="J7" s="337">
        <v>2.5</v>
      </c>
      <c r="K7" s="337">
        <v>2.5</v>
      </c>
      <c r="L7" s="337">
        <v>2.5</v>
      </c>
      <c r="M7" s="338">
        <v>1.192</v>
      </c>
    </row>
    <row r="8" spans="1:13" ht="95.25" customHeight="1">
      <c r="A8" s="336" t="s">
        <v>417</v>
      </c>
      <c r="B8" s="331"/>
      <c r="C8" s="334"/>
      <c r="D8" s="339">
        <v>0.275</v>
      </c>
      <c r="E8" s="339">
        <v>0.275</v>
      </c>
      <c r="F8" s="339">
        <v>0.275</v>
      </c>
      <c r="G8" s="339">
        <v>0.275</v>
      </c>
      <c r="H8" s="339">
        <v>0.275</v>
      </c>
      <c r="I8" s="339">
        <v>0.275</v>
      </c>
      <c r="J8" s="339">
        <v>0.275</v>
      </c>
      <c r="K8" s="339">
        <v>0.275</v>
      </c>
      <c r="L8" s="339">
        <v>0.275</v>
      </c>
      <c r="M8" s="335"/>
    </row>
    <row r="9" spans="1:14" ht="48.75" customHeight="1">
      <c r="A9" s="336" t="s">
        <v>418</v>
      </c>
      <c r="B9" s="331"/>
      <c r="C9" s="334">
        <f aca="true" t="shared" si="0" ref="C9:C17">SUM(D9:L9)</f>
        <v>0</v>
      </c>
      <c r="D9" s="340"/>
      <c r="E9" s="340"/>
      <c r="F9" s="340"/>
      <c r="G9" s="340"/>
      <c r="H9" s="340"/>
      <c r="I9" s="340"/>
      <c r="J9" s="340"/>
      <c r="K9" s="340"/>
      <c r="L9" s="340"/>
      <c r="M9" s="341">
        <v>21.4</v>
      </c>
      <c r="N9" s="342"/>
    </row>
    <row r="10" spans="1:14" ht="34.5" customHeight="1">
      <c r="A10" s="336" t="s">
        <v>419</v>
      </c>
      <c r="B10" s="331"/>
      <c r="C10" s="334">
        <f t="shared" si="0"/>
        <v>122</v>
      </c>
      <c r="D10" s="340">
        <v>26</v>
      </c>
      <c r="E10" s="340">
        <v>12</v>
      </c>
      <c r="F10" s="340">
        <v>12</v>
      </c>
      <c r="G10" s="340">
        <v>12</v>
      </c>
      <c r="H10" s="340">
        <v>12</v>
      </c>
      <c r="I10" s="340">
        <v>12</v>
      </c>
      <c r="J10" s="340">
        <v>12</v>
      </c>
      <c r="K10" s="340">
        <v>12</v>
      </c>
      <c r="L10" s="340">
        <v>12</v>
      </c>
      <c r="M10" s="343">
        <f>2.88*1.04</f>
        <v>2.9952</v>
      </c>
      <c r="N10" s="342"/>
    </row>
    <row r="11" spans="1:14" ht="63.75" customHeight="1">
      <c r="A11" s="336" t="s">
        <v>420</v>
      </c>
      <c r="B11" s="331"/>
      <c r="C11" s="334">
        <f t="shared" si="0"/>
        <v>352.09999999999997</v>
      </c>
      <c r="D11" s="340">
        <v>57.3</v>
      </c>
      <c r="E11" s="340">
        <v>36.8</v>
      </c>
      <c r="F11" s="340">
        <v>36.9</v>
      </c>
      <c r="G11" s="340">
        <v>36.8</v>
      </c>
      <c r="H11" s="340">
        <v>36.8</v>
      </c>
      <c r="I11" s="340">
        <v>36.9</v>
      </c>
      <c r="J11" s="340">
        <v>36.8</v>
      </c>
      <c r="K11" s="340">
        <v>36.9</v>
      </c>
      <c r="L11" s="340">
        <v>36.9</v>
      </c>
      <c r="M11" s="272">
        <f>(350*12+200*12*15)/1000</f>
        <v>40.2</v>
      </c>
      <c r="N11" s="342"/>
    </row>
    <row r="12" spans="1:14" ht="33.75" customHeight="1">
      <c r="A12" s="336" t="s">
        <v>421</v>
      </c>
      <c r="B12" s="331"/>
      <c r="C12" s="334">
        <f t="shared" si="0"/>
        <v>302.4</v>
      </c>
      <c r="D12" s="340">
        <v>112.6</v>
      </c>
      <c r="E12" s="340">
        <v>181.3</v>
      </c>
      <c r="F12" s="340">
        <v>0</v>
      </c>
      <c r="G12" s="340">
        <v>0</v>
      </c>
      <c r="H12" s="340">
        <v>5</v>
      </c>
      <c r="I12" s="340">
        <v>0</v>
      </c>
      <c r="J12" s="340">
        <v>0</v>
      </c>
      <c r="K12" s="340">
        <v>1</v>
      </c>
      <c r="L12" s="340">
        <v>2.5</v>
      </c>
      <c r="M12" s="341">
        <v>6.2</v>
      </c>
      <c r="N12" s="342"/>
    </row>
    <row r="13" spans="1:14" ht="47.25" customHeight="1">
      <c r="A13" s="336" t="s">
        <v>422</v>
      </c>
      <c r="B13" s="331"/>
      <c r="C13" s="334">
        <f t="shared" si="0"/>
        <v>416.3</v>
      </c>
      <c r="D13" s="340">
        <v>177.5</v>
      </c>
      <c r="E13" s="340">
        <v>31</v>
      </c>
      <c r="F13" s="340">
        <v>31.8</v>
      </c>
      <c r="G13" s="340">
        <v>25.3</v>
      </c>
      <c r="H13" s="340">
        <v>20.8</v>
      </c>
      <c r="I13" s="340">
        <v>32.3</v>
      </c>
      <c r="J13" s="340">
        <v>27.5</v>
      </c>
      <c r="K13" s="340">
        <v>32.9</v>
      </c>
      <c r="L13" s="340">
        <v>37.2</v>
      </c>
      <c r="M13" s="272">
        <f>(6600+6000+2280+2500+160+900+600)/1000</f>
        <v>19.04</v>
      </c>
      <c r="N13" s="342"/>
    </row>
    <row r="14" spans="1:14" ht="64.5" customHeight="1">
      <c r="A14" s="218" t="s">
        <v>423</v>
      </c>
      <c r="B14" s="331"/>
      <c r="C14" s="334">
        <f t="shared" si="0"/>
        <v>345.2</v>
      </c>
      <c r="D14" s="340">
        <v>70</v>
      </c>
      <c r="E14" s="340">
        <v>0</v>
      </c>
      <c r="F14" s="340">
        <v>45.2</v>
      </c>
      <c r="G14" s="340">
        <v>0</v>
      </c>
      <c r="H14" s="340">
        <v>80</v>
      </c>
      <c r="I14" s="340">
        <v>0</v>
      </c>
      <c r="J14" s="340">
        <v>60</v>
      </c>
      <c r="K14" s="340">
        <v>35</v>
      </c>
      <c r="L14" s="340">
        <v>55</v>
      </c>
      <c r="M14" s="344"/>
      <c r="N14" s="342"/>
    </row>
    <row r="15" spans="1:14" ht="25.5" customHeight="1">
      <c r="A15" s="331" t="s">
        <v>424</v>
      </c>
      <c r="B15" s="331"/>
      <c r="C15" s="334">
        <f t="shared" si="0"/>
        <v>11314.2</v>
      </c>
      <c r="D15" s="345">
        <v>2355.5</v>
      </c>
      <c r="E15" s="345">
        <v>1277.8</v>
      </c>
      <c r="F15" s="345">
        <v>1106.2</v>
      </c>
      <c r="G15" s="345">
        <v>1145.1</v>
      </c>
      <c r="H15" s="345">
        <v>1082.1</v>
      </c>
      <c r="I15" s="345">
        <v>1027.3</v>
      </c>
      <c r="J15" s="345">
        <v>1086.3</v>
      </c>
      <c r="K15" s="345">
        <v>1039.1</v>
      </c>
      <c r="L15" s="345">
        <v>1194.8</v>
      </c>
      <c r="M15" s="344"/>
      <c r="N15" s="342"/>
    </row>
    <row r="16" spans="1:13" ht="24.75" customHeight="1">
      <c r="A16" s="331" t="s">
        <v>425</v>
      </c>
      <c r="B16" s="331"/>
      <c r="C16" s="334">
        <f t="shared" si="0"/>
        <v>11314.2</v>
      </c>
      <c r="D16" s="345">
        <v>2355.5</v>
      </c>
      <c r="E16" s="345">
        <v>1277.8</v>
      </c>
      <c r="F16" s="345">
        <v>1106.2</v>
      </c>
      <c r="G16" s="345">
        <v>1145.1</v>
      </c>
      <c r="H16" s="345">
        <v>1082.1</v>
      </c>
      <c r="I16" s="345">
        <v>1027.3</v>
      </c>
      <c r="J16" s="345">
        <v>1086.3</v>
      </c>
      <c r="K16" s="345">
        <v>1039.1</v>
      </c>
      <c r="L16" s="345">
        <v>1194.8</v>
      </c>
      <c r="M16" s="346"/>
    </row>
    <row r="17" spans="1:12" ht="26.25" customHeight="1">
      <c r="A17" s="331" t="s">
        <v>426</v>
      </c>
      <c r="B17" s="331"/>
      <c r="C17" s="334">
        <f t="shared" si="0"/>
        <v>11314.2</v>
      </c>
      <c r="D17" s="345">
        <v>2355.5</v>
      </c>
      <c r="E17" s="345">
        <v>1277.8</v>
      </c>
      <c r="F17" s="345">
        <v>1106.2</v>
      </c>
      <c r="G17" s="345">
        <v>1145.1</v>
      </c>
      <c r="H17" s="345">
        <v>1082.1</v>
      </c>
      <c r="I17" s="345">
        <v>1027.3</v>
      </c>
      <c r="J17" s="345">
        <v>1086.3</v>
      </c>
      <c r="K17" s="345">
        <v>1039.1</v>
      </c>
      <c r="L17" s="345">
        <v>1194.8</v>
      </c>
    </row>
    <row r="18" spans="3:12" ht="15.75">
      <c r="C18" s="349"/>
      <c r="D18" s="349"/>
      <c r="E18" s="349"/>
      <c r="F18" s="349"/>
      <c r="G18" s="349"/>
      <c r="H18" s="349"/>
      <c r="I18" s="349"/>
      <c r="J18" s="349"/>
      <c r="K18" s="349"/>
      <c r="L18" s="349"/>
    </row>
  </sheetData>
  <sheetProtection/>
  <mergeCells count="1">
    <mergeCell ref="A1:M1"/>
  </mergeCells>
  <printOptions/>
  <pageMargins left="0.36" right="0.33" top="0.75" bottom="0.49" header="0.3" footer="0.3"/>
  <pageSetup fitToHeight="1" fitToWidth="1" horizontalDpi="600" verticalDpi="600" orientation="landscape" paperSize="9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9.75390625" style="351" customWidth="1"/>
    <col min="2" max="2" width="22.25390625" style="351" customWidth="1"/>
    <col min="3" max="3" width="23.75390625" style="351" customWidth="1"/>
    <col min="4" max="4" width="22.75390625" style="351" customWidth="1"/>
    <col min="5" max="5" width="21.125" style="351" customWidth="1"/>
    <col min="6" max="6" width="18.00390625" style="351" customWidth="1"/>
    <col min="7" max="7" width="19.25390625" style="351" customWidth="1"/>
    <col min="8" max="16384" width="9.125" style="351" customWidth="1"/>
  </cols>
  <sheetData>
    <row r="1" spans="1:7" ht="15.75">
      <c r="A1" s="645" t="s">
        <v>107</v>
      </c>
      <c r="B1" s="645"/>
      <c r="C1" s="645"/>
      <c r="D1" s="645"/>
      <c r="E1" s="645"/>
      <c r="F1" s="645"/>
      <c r="G1" s="645"/>
    </row>
    <row r="2" spans="1:7" ht="50.25" customHeight="1">
      <c r="A2" s="646" t="s">
        <v>427</v>
      </c>
      <c r="B2" s="646"/>
      <c r="C2" s="646"/>
      <c r="D2" s="646"/>
      <c r="E2" s="646"/>
      <c r="F2" s="646"/>
      <c r="G2" s="646"/>
    </row>
    <row r="3" spans="1:5" ht="15.75">
      <c r="A3" s="647"/>
      <c r="B3" s="647"/>
      <c r="C3" s="647"/>
      <c r="D3" s="647"/>
      <c r="E3" s="647"/>
    </row>
    <row r="4" spans="1:7" s="350" customFormat="1" ht="252" customHeight="1">
      <c r="A4" s="352" t="s">
        <v>428</v>
      </c>
      <c r="B4" s="352" t="s">
        <v>429</v>
      </c>
      <c r="C4" s="352" t="s">
        <v>430</v>
      </c>
      <c r="D4" s="352" t="s">
        <v>431</v>
      </c>
      <c r="E4" s="352" t="s">
        <v>432</v>
      </c>
      <c r="F4" s="352" t="s">
        <v>433</v>
      </c>
      <c r="G4" s="352" t="s">
        <v>434</v>
      </c>
    </row>
    <row r="5" spans="1:7" ht="26.25" customHeight="1">
      <c r="A5" s="353" t="s">
        <v>401</v>
      </c>
      <c r="B5" s="354">
        <v>190</v>
      </c>
      <c r="C5" s="354">
        <v>207</v>
      </c>
      <c r="D5" s="355">
        <v>1000000</v>
      </c>
      <c r="E5" s="356">
        <f>B5/C5*D5/1000</f>
        <v>917.8743961352657</v>
      </c>
      <c r="F5" s="356">
        <v>917.8743961352657</v>
      </c>
      <c r="G5" s="356">
        <v>917.8743961352657</v>
      </c>
    </row>
    <row r="6" spans="1:7" ht="22.5" customHeight="1">
      <c r="A6" s="357" t="s">
        <v>113</v>
      </c>
      <c r="B6" s="354">
        <v>11</v>
      </c>
      <c r="C6" s="354">
        <v>207</v>
      </c>
      <c r="D6" s="355">
        <v>1000000</v>
      </c>
      <c r="E6" s="356">
        <f>B6/C6*D6/1000</f>
        <v>53.14009661835748</v>
      </c>
      <c r="F6" s="356">
        <v>53.14009661835748</v>
      </c>
      <c r="G6" s="356">
        <v>53.14009661835748</v>
      </c>
    </row>
    <row r="7" spans="1:7" ht="30" customHeight="1">
      <c r="A7" s="357" t="s">
        <v>116</v>
      </c>
      <c r="B7" s="354">
        <v>1</v>
      </c>
      <c r="C7" s="354">
        <v>207</v>
      </c>
      <c r="D7" s="355">
        <v>1000000</v>
      </c>
      <c r="E7" s="356">
        <f>B7/C7*D7/1000</f>
        <v>4.8309178743961345</v>
      </c>
      <c r="F7" s="356">
        <v>4.8309178743961345</v>
      </c>
      <c r="G7" s="356">
        <v>4.8309178743961345</v>
      </c>
    </row>
    <row r="8" spans="1:7" ht="23.25" customHeight="1">
      <c r="A8" s="357" t="s">
        <v>119</v>
      </c>
      <c r="B8" s="354">
        <v>5</v>
      </c>
      <c r="C8" s="354">
        <v>207</v>
      </c>
      <c r="D8" s="355">
        <v>1000000</v>
      </c>
      <c r="E8" s="356">
        <f>B8/C8*D8/1000</f>
        <v>24.154589371980677</v>
      </c>
      <c r="F8" s="356">
        <v>24.154589371980677</v>
      </c>
      <c r="G8" s="356">
        <v>24.154589371980677</v>
      </c>
    </row>
    <row r="9" spans="1:7" ht="15.75">
      <c r="A9" s="358" t="s">
        <v>33</v>
      </c>
      <c r="B9" s="354">
        <f>SUM(B5:B8)</f>
        <v>207</v>
      </c>
      <c r="C9" s="354"/>
      <c r="D9" s="354"/>
      <c r="E9" s="359">
        <f>SUM(E5:E8)</f>
        <v>1000</v>
      </c>
      <c r="F9" s="359">
        <f>SUM(F5:F8)</f>
        <v>1000</v>
      </c>
      <c r="G9" s="359">
        <f>SUM(G5:G8)</f>
        <v>1000</v>
      </c>
    </row>
  </sheetData>
  <sheetProtection/>
  <mergeCells count="3">
    <mergeCell ref="A1:G1"/>
    <mergeCell ref="A2:G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2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4.375" style="368" customWidth="1"/>
    <col min="2" max="2" width="11.375" style="368" hidden="1" customWidth="1"/>
    <col min="3" max="3" width="9.75390625" style="368" hidden="1" customWidth="1"/>
    <col min="4" max="4" width="9.00390625" style="368" hidden="1" customWidth="1"/>
    <col min="5" max="5" width="15.75390625" style="11" customWidth="1"/>
    <col min="6" max="6" width="19.00390625" style="11" customWidth="1"/>
    <col min="7" max="40" width="0" style="11" hidden="1" customWidth="1"/>
    <col min="41" max="41" width="15.75390625" style="11" customWidth="1"/>
    <col min="42" max="42" width="16.125" style="11" customWidth="1"/>
    <col min="43" max="43" width="13.00390625" style="380" customWidth="1"/>
    <col min="44" max="44" width="12.625" style="11" customWidth="1"/>
    <col min="45" max="45" width="12.125" style="11" customWidth="1"/>
    <col min="46" max="46" width="12.625" style="11" customWidth="1"/>
    <col min="47" max="16384" width="9.125" style="11" customWidth="1"/>
  </cols>
  <sheetData>
    <row r="1" spans="1:46" ht="15.75">
      <c r="A1" s="649" t="s">
        <v>107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</row>
    <row r="2" spans="1:46" ht="23.25" customHeight="1">
      <c r="A2" s="648" t="s">
        <v>482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</row>
    <row r="3" spans="1:44" ht="15.7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1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3"/>
      <c r="AP3" s="373"/>
      <c r="AQ3" s="374"/>
      <c r="AR3" s="373"/>
    </row>
    <row r="4" spans="1:46" s="307" customFormat="1" ht="170.25" customHeight="1">
      <c r="A4" s="376" t="s">
        <v>481</v>
      </c>
      <c r="B4" s="375" t="s">
        <v>439</v>
      </c>
      <c r="C4" s="375" t="s">
        <v>440</v>
      </c>
      <c r="D4" s="375" t="s">
        <v>441</v>
      </c>
      <c r="E4" s="362" t="s">
        <v>435</v>
      </c>
      <c r="F4" s="362" t="s">
        <v>436</v>
      </c>
      <c r="G4" s="376" t="s">
        <v>442</v>
      </c>
      <c r="H4" s="376" t="s">
        <v>443</v>
      </c>
      <c r="I4" s="376" t="s">
        <v>444</v>
      </c>
      <c r="J4" s="376" t="s">
        <v>445</v>
      </c>
      <c r="K4" s="376" t="s">
        <v>446</v>
      </c>
      <c r="L4" s="376" t="s">
        <v>447</v>
      </c>
      <c r="M4" s="376" t="s">
        <v>448</v>
      </c>
      <c r="N4" s="376" t="s">
        <v>449</v>
      </c>
      <c r="O4" s="376" t="s">
        <v>450</v>
      </c>
      <c r="P4" s="376" t="s">
        <v>451</v>
      </c>
      <c r="Q4" s="376" t="s">
        <v>452</v>
      </c>
      <c r="R4" s="376" t="s">
        <v>453</v>
      </c>
      <c r="S4" s="376" t="s">
        <v>454</v>
      </c>
      <c r="T4" s="376" t="s">
        <v>455</v>
      </c>
      <c r="U4" s="376" t="s">
        <v>456</v>
      </c>
      <c r="V4" s="376" t="s">
        <v>457</v>
      </c>
      <c r="W4" s="376" t="s">
        <v>458</v>
      </c>
      <c r="X4" s="376" t="s">
        <v>459</v>
      </c>
      <c r="Y4" s="376" t="s">
        <v>460</v>
      </c>
      <c r="Z4" s="376" t="s">
        <v>461</v>
      </c>
      <c r="AA4" s="376" t="s">
        <v>462</v>
      </c>
      <c r="AB4" s="376" t="s">
        <v>463</v>
      </c>
      <c r="AC4" s="376" t="s">
        <v>464</v>
      </c>
      <c r="AD4" s="376" t="s">
        <v>465</v>
      </c>
      <c r="AE4" s="376" t="s">
        <v>466</v>
      </c>
      <c r="AF4" s="376" t="s">
        <v>467</v>
      </c>
      <c r="AG4" s="376" t="s">
        <v>468</v>
      </c>
      <c r="AH4" s="376" t="s">
        <v>469</v>
      </c>
      <c r="AI4" s="376" t="s">
        <v>470</v>
      </c>
      <c r="AJ4" s="376" t="s">
        <v>471</v>
      </c>
      <c r="AK4" s="376" t="s">
        <v>472</v>
      </c>
      <c r="AL4" s="376" t="s">
        <v>473</v>
      </c>
      <c r="AM4" s="376" t="s">
        <v>474</v>
      </c>
      <c r="AN4" s="376" t="s">
        <v>475</v>
      </c>
      <c r="AO4" s="360" t="s">
        <v>476</v>
      </c>
      <c r="AP4" s="360" t="s">
        <v>477</v>
      </c>
      <c r="AQ4" s="361" t="s">
        <v>478</v>
      </c>
      <c r="AR4" s="362" t="s">
        <v>479</v>
      </c>
      <c r="AS4" s="362" t="s">
        <v>437</v>
      </c>
      <c r="AT4" s="362" t="s">
        <v>480</v>
      </c>
    </row>
    <row r="5" spans="1:46" ht="18" customHeight="1">
      <c r="A5" s="363" t="s">
        <v>10</v>
      </c>
      <c r="B5" s="366">
        <f>(C5+D5)/2</f>
        <v>6.855568120227032</v>
      </c>
      <c r="C5" s="367">
        <f>(G5*X5+H5*Y5+I5*Z5+J5*AA5+K5*AB5+L5*AC5+M5*AD5)/E5</f>
        <v>8.860111003861004</v>
      </c>
      <c r="D5" s="367">
        <f>(N5*AE5+O5*AF5+P5*AG5+Q5*AH5+R5*AI5+S5*AJ5+T5*AK5+U5*AL5+V5*AM5+W5*AN5)/F5</f>
        <v>4.85102523659306</v>
      </c>
      <c r="E5" s="377">
        <v>4144</v>
      </c>
      <c r="F5" s="377">
        <v>9510</v>
      </c>
      <c r="G5" s="377">
        <v>1377</v>
      </c>
      <c r="H5" s="377">
        <v>1056</v>
      </c>
      <c r="I5" s="377">
        <v>731</v>
      </c>
      <c r="J5" s="377">
        <v>34</v>
      </c>
      <c r="K5" s="377">
        <v>358</v>
      </c>
      <c r="L5" s="377">
        <v>89</v>
      </c>
      <c r="M5" s="377">
        <v>1255</v>
      </c>
      <c r="N5" s="377">
        <v>192</v>
      </c>
      <c r="O5" s="377">
        <v>612</v>
      </c>
      <c r="P5" s="377">
        <v>0</v>
      </c>
      <c r="Q5" s="377">
        <v>1967</v>
      </c>
      <c r="R5" s="377">
        <v>5335</v>
      </c>
      <c r="S5" s="377">
        <v>121</v>
      </c>
      <c r="T5" s="377">
        <v>264</v>
      </c>
      <c r="U5" s="377">
        <v>0</v>
      </c>
      <c r="V5" s="377">
        <v>0</v>
      </c>
      <c r="W5" s="377">
        <v>937</v>
      </c>
      <c r="X5" s="377">
        <v>6.75</v>
      </c>
      <c r="Y5" s="377">
        <v>9.05</v>
      </c>
      <c r="Z5" s="377">
        <v>7.5</v>
      </c>
      <c r="AA5" s="377">
        <v>7.25</v>
      </c>
      <c r="AB5" s="377">
        <v>7.75</v>
      </c>
      <c r="AC5" s="377">
        <v>10</v>
      </c>
      <c r="AD5" s="377">
        <v>6.75</v>
      </c>
      <c r="AE5" s="377">
        <v>9</v>
      </c>
      <c r="AF5" s="377">
        <v>6</v>
      </c>
      <c r="AG5" s="377">
        <v>2</v>
      </c>
      <c r="AH5" s="377">
        <v>5.5</v>
      </c>
      <c r="AI5" s="377">
        <v>5</v>
      </c>
      <c r="AJ5" s="377">
        <v>4.25</v>
      </c>
      <c r="AK5" s="377">
        <v>5</v>
      </c>
      <c r="AL5" s="377">
        <v>3.5</v>
      </c>
      <c r="AM5" s="377">
        <v>3</v>
      </c>
      <c r="AN5" s="377">
        <v>1.5</v>
      </c>
      <c r="AO5" s="377">
        <f aca="true" t="shared" si="0" ref="AO5:AO13">SUM(E5:F5)</f>
        <v>13654</v>
      </c>
      <c r="AP5" s="378">
        <v>6.1</v>
      </c>
      <c r="AQ5" s="378">
        <v>155.1</v>
      </c>
      <c r="AR5" s="389">
        <v>12922.1</v>
      </c>
      <c r="AS5" s="295">
        <v>13370.8</v>
      </c>
      <c r="AT5" s="295">
        <v>9025.1</v>
      </c>
    </row>
    <row r="6" spans="1:46" ht="18" customHeight="1">
      <c r="A6" s="363" t="s">
        <v>113</v>
      </c>
      <c r="B6" s="366">
        <f aca="true" t="shared" si="1" ref="B6:B13">(C6+D6)/2</f>
        <v>6.089031370390754</v>
      </c>
      <c r="C6" s="367">
        <f aca="true" t="shared" si="2" ref="C6:C13">(G6*X6+H6*Y6+I6*Z6+J6*AA6+K6*AB6+L6*AC6+M6*AD6)/E6</f>
        <v>6.229367088607595</v>
      </c>
      <c r="D6" s="367">
        <f aca="true" t="shared" si="3" ref="D6:D13">(N6*AE6+O6*AF6+P6*AG6+Q6*AH6+R6*AI6+S6*AJ6+T6*AK6+U6*AL6+V6*AM6+W6*AN6)/F6</f>
        <v>5.948695652173913</v>
      </c>
      <c r="E6" s="377">
        <v>395</v>
      </c>
      <c r="F6" s="377">
        <v>1150</v>
      </c>
      <c r="G6" s="377">
        <v>55</v>
      </c>
      <c r="H6" s="377">
        <v>57</v>
      </c>
      <c r="I6" s="377">
        <v>54</v>
      </c>
      <c r="J6" s="377">
        <v>4</v>
      </c>
      <c r="K6" s="377">
        <v>20</v>
      </c>
      <c r="L6" s="377">
        <v>8</v>
      </c>
      <c r="M6" s="377">
        <v>134</v>
      </c>
      <c r="N6" s="377">
        <v>28</v>
      </c>
      <c r="O6" s="377">
        <v>204</v>
      </c>
      <c r="P6" s="377">
        <v>0</v>
      </c>
      <c r="Q6" s="377">
        <v>271</v>
      </c>
      <c r="R6" s="377">
        <v>667</v>
      </c>
      <c r="S6" s="377">
        <v>14</v>
      </c>
      <c r="T6" s="377">
        <v>27</v>
      </c>
      <c r="U6" s="377">
        <v>0</v>
      </c>
      <c r="V6" s="377">
        <v>0</v>
      </c>
      <c r="W6" s="377">
        <v>230</v>
      </c>
      <c r="X6" s="377">
        <v>6.75</v>
      </c>
      <c r="Y6" s="377">
        <v>9.05</v>
      </c>
      <c r="Z6" s="377">
        <v>7.5</v>
      </c>
      <c r="AA6" s="377">
        <v>7.25</v>
      </c>
      <c r="AB6" s="377">
        <v>7.75</v>
      </c>
      <c r="AC6" s="377">
        <v>10</v>
      </c>
      <c r="AD6" s="377">
        <v>6.75</v>
      </c>
      <c r="AE6" s="377">
        <v>9</v>
      </c>
      <c r="AF6" s="377">
        <v>6</v>
      </c>
      <c r="AG6" s="377">
        <v>2</v>
      </c>
      <c r="AH6" s="377">
        <v>5.5</v>
      </c>
      <c r="AI6" s="377">
        <v>5</v>
      </c>
      <c r="AJ6" s="377">
        <v>4.25</v>
      </c>
      <c r="AK6" s="377">
        <v>5</v>
      </c>
      <c r="AL6" s="377">
        <v>3.5</v>
      </c>
      <c r="AM6" s="377">
        <v>3</v>
      </c>
      <c r="AN6" s="377">
        <v>1.5</v>
      </c>
      <c r="AO6" s="377">
        <f t="shared" si="0"/>
        <v>1545</v>
      </c>
      <c r="AP6" s="378">
        <v>6.26</v>
      </c>
      <c r="AQ6" s="378">
        <v>155.1</v>
      </c>
      <c r="AR6" s="389">
        <v>1500.1</v>
      </c>
      <c r="AS6" s="389">
        <v>1552.501284</v>
      </c>
      <c r="AT6" s="389">
        <v>1047.9286949999998</v>
      </c>
    </row>
    <row r="7" spans="1:46" ht="18" customHeight="1">
      <c r="A7" s="364" t="s">
        <v>109</v>
      </c>
      <c r="B7" s="366">
        <f t="shared" si="1"/>
        <v>8.524269991584625</v>
      </c>
      <c r="C7" s="367">
        <f t="shared" si="2"/>
        <v>10.313966480446927</v>
      </c>
      <c r="D7" s="367">
        <f t="shared" si="3"/>
        <v>6.7345735027223235</v>
      </c>
      <c r="E7" s="377">
        <v>179</v>
      </c>
      <c r="F7" s="377">
        <v>551</v>
      </c>
      <c r="G7" s="377">
        <v>58</v>
      </c>
      <c r="H7" s="377">
        <v>49</v>
      </c>
      <c r="I7" s="377">
        <v>35</v>
      </c>
      <c r="J7" s="377">
        <v>1</v>
      </c>
      <c r="K7" s="377">
        <v>17</v>
      </c>
      <c r="L7" s="377">
        <v>9</v>
      </c>
      <c r="M7" s="377">
        <v>77</v>
      </c>
      <c r="N7" s="377">
        <v>42</v>
      </c>
      <c r="O7" s="377">
        <v>35</v>
      </c>
      <c r="P7" s="377">
        <v>0</v>
      </c>
      <c r="Q7" s="377">
        <v>153</v>
      </c>
      <c r="R7" s="377">
        <v>386</v>
      </c>
      <c r="S7" s="377">
        <v>21</v>
      </c>
      <c r="T7" s="377">
        <v>23</v>
      </c>
      <c r="U7" s="377">
        <v>0</v>
      </c>
      <c r="V7" s="377">
        <v>0</v>
      </c>
      <c r="W7" s="377">
        <v>98</v>
      </c>
      <c r="X7" s="377">
        <v>6.75</v>
      </c>
      <c r="Y7" s="377">
        <v>9.05</v>
      </c>
      <c r="Z7" s="377">
        <v>7.5</v>
      </c>
      <c r="AA7" s="377">
        <v>7.25</v>
      </c>
      <c r="AB7" s="377">
        <v>7.75</v>
      </c>
      <c r="AC7" s="377">
        <v>10</v>
      </c>
      <c r="AD7" s="377">
        <v>6.75</v>
      </c>
      <c r="AE7" s="377">
        <v>9</v>
      </c>
      <c r="AF7" s="377">
        <v>6</v>
      </c>
      <c r="AG7" s="377">
        <v>2</v>
      </c>
      <c r="AH7" s="377">
        <v>5.5</v>
      </c>
      <c r="AI7" s="377">
        <v>5</v>
      </c>
      <c r="AJ7" s="377">
        <v>4.25</v>
      </c>
      <c r="AK7" s="377">
        <v>5</v>
      </c>
      <c r="AL7" s="377">
        <v>3.5</v>
      </c>
      <c r="AM7" s="377">
        <v>3</v>
      </c>
      <c r="AN7" s="377">
        <v>1.5</v>
      </c>
      <c r="AO7" s="377">
        <f t="shared" si="0"/>
        <v>730</v>
      </c>
      <c r="AP7" s="378">
        <v>6.13</v>
      </c>
      <c r="AQ7" s="378">
        <v>155.1</v>
      </c>
      <c r="AR7" s="389">
        <v>694.1</v>
      </c>
      <c r="AS7" s="389">
        <v>718.3109479999999</v>
      </c>
      <c r="AT7" s="389">
        <v>484.85541499999994</v>
      </c>
    </row>
    <row r="8" spans="1:46" ht="18" customHeight="1">
      <c r="A8" s="364" t="s">
        <v>438</v>
      </c>
      <c r="B8" s="366">
        <f t="shared" si="1"/>
        <v>10.23000365497076</v>
      </c>
      <c r="C8" s="367">
        <f t="shared" si="2"/>
        <v>13.373750000000001</v>
      </c>
      <c r="D8" s="367">
        <f t="shared" si="3"/>
        <v>7.08625730994152</v>
      </c>
      <c r="E8" s="377">
        <v>80</v>
      </c>
      <c r="F8" s="377">
        <v>342</v>
      </c>
      <c r="G8" s="377">
        <v>45</v>
      </c>
      <c r="H8" s="377">
        <v>23</v>
      </c>
      <c r="I8" s="377">
        <v>8</v>
      </c>
      <c r="J8" s="377">
        <v>3</v>
      </c>
      <c r="K8" s="377">
        <v>14</v>
      </c>
      <c r="L8" s="377">
        <v>1</v>
      </c>
      <c r="M8" s="377">
        <v>53</v>
      </c>
      <c r="N8" s="377">
        <v>12</v>
      </c>
      <c r="O8" s="377">
        <v>18</v>
      </c>
      <c r="P8" s="377">
        <v>0</v>
      </c>
      <c r="Q8" s="377">
        <v>119</v>
      </c>
      <c r="R8" s="377">
        <v>289</v>
      </c>
      <c r="S8" s="377">
        <v>0</v>
      </c>
      <c r="T8" s="377">
        <v>3</v>
      </c>
      <c r="U8" s="377">
        <v>0</v>
      </c>
      <c r="V8" s="377">
        <v>0</v>
      </c>
      <c r="W8" s="377">
        <v>62</v>
      </c>
      <c r="X8" s="377">
        <v>6.75</v>
      </c>
      <c r="Y8" s="377">
        <v>9.05</v>
      </c>
      <c r="Z8" s="377">
        <v>7.5</v>
      </c>
      <c r="AA8" s="377">
        <v>7.25</v>
      </c>
      <c r="AB8" s="377">
        <v>7.75</v>
      </c>
      <c r="AC8" s="377">
        <v>10</v>
      </c>
      <c r="AD8" s="377">
        <v>6.75</v>
      </c>
      <c r="AE8" s="377">
        <v>9</v>
      </c>
      <c r="AF8" s="377">
        <v>6</v>
      </c>
      <c r="AG8" s="377">
        <v>2</v>
      </c>
      <c r="AH8" s="377">
        <v>5.5</v>
      </c>
      <c r="AI8" s="377">
        <v>5</v>
      </c>
      <c r="AJ8" s="377">
        <v>4.25</v>
      </c>
      <c r="AK8" s="377">
        <v>5</v>
      </c>
      <c r="AL8" s="377">
        <v>3.5</v>
      </c>
      <c r="AM8" s="377">
        <v>3</v>
      </c>
      <c r="AN8" s="377">
        <v>1.5</v>
      </c>
      <c r="AO8" s="377">
        <f t="shared" si="0"/>
        <v>422</v>
      </c>
      <c r="AP8" s="378">
        <v>6.29</v>
      </c>
      <c r="AQ8" s="378">
        <v>155.1</v>
      </c>
      <c r="AR8" s="389">
        <v>411.7</v>
      </c>
      <c r="AS8" s="389">
        <v>426.0810776</v>
      </c>
      <c r="AT8" s="389">
        <v>287.60207299999996</v>
      </c>
    </row>
    <row r="9" spans="1:46" ht="18" customHeight="1">
      <c r="A9" s="364" t="s">
        <v>112</v>
      </c>
      <c r="B9" s="366">
        <f t="shared" si="1"/>
        <v>11.165577622281676</v>
      </c>
      <c r="C9" s="367">
        <f t="shared" si="2"/>
        <v>14.44767441860465</v>
      </c>
      <c r="D9" s="367">
        <f t="shared" si="3"/>
        <v>7.883480825958702</v>
      </c>
      <c r="E9" s="377">
        <v>86</v>
      </c>
      <c r="F9" s="377">
        <v>339</v>
      </c>
      <c r="G9" s="377">
        <v>32</v>
      </c>
      <c r="H9" s="377">
        <v>25</v>
      </c>
      <c r="I9" s="377">
        <v>23</v>
      </c>
      <c r="J9" s="377">
        <v>0</v>
      </c>
      <c r="K9" s="377">
        <v>14</v>
      </c>
      <c r="L9" s="377">
        <v>4</v>
      </c>
      <c r="M9" s="377">
        <v>71</v>
      </c>
      <c r="N9" s="377">
        <v>23</v>
      </c>
      <c r="O9" s="377">
        <v>31</v>
      </c>
      <c r="P9" s="377">
        <v>0</v>
      </c>
      <c r="Q9" s="377">
        <v>118</v>
      </c>
      <c r="R9" s="377">
        <v>280</v>
      </c>
      <c r="S9" s="377">
        <v>20</v>
      </c>
      <c r="T9" s="377">
        <v>12</v>
      </c>
      <c r="U9" s="377">
        <v>0</v>
      </c>
      <c r="V9" s="377">
        <v>0</v>
      </c>
      <c r="W9" s="377">
        <v>57</v>
      </c>
      <c r="X9" s="377">
        <v>6.75</v>
      </c>
      <c r="Y9" s="377">
        <v>9.05</v>
      </c>
      <c r="Z9" s="377">
        <v>7.5</v>
      </c>
      <c r="AA9" s="377">
        <v>7.25</v>
      </c>
      <c r="AB9" s="377">
        <v>7.75</v>
      </c>
      <c r="AC9" s="377">
        <v>10</v>
      </c>
      <c r="AD9" s="377">
        <v>6.75</v>
      </c>
      <c r="AE9" s="377">
        <v>9</v>
      </c>
      <c r="AF9" s="377">
        <v>6</v>
      </c>
      <c r="AG9" s="377">
        <v>2</v>
      </c>
      <c r="AH9" s="377">
        <v>5.5</v>
      </c>
      <c r="AI9" s="377">
        <v>5</v>
      </c>
      <c r="AJ9" s="377">
        <v>4.25</v>
      </c>
      <c r="AK9" s="377">
        <v>5</v>
      </c>
      <c r="AL9" s="377">
        <v>3.5</v>
      </c>
      <c r="AM9" s="377">
        <v>3</v>
      </c>
      <c r="AN9" s="377">
        <v>1.5</v>
      </c>
      <c r="AO9" s="377">
        <f t="shared" si="0"/>
        <v>425</v>
      </c>
      <c r="AP9" s="378">
        <v>6.2</v>
      </c>
      <c r="AQ9" s="378">
        <v>155.1</v>
      </c>
      <c r="AR9" s="389">
        <v>408.7</v>
      </c>
      <c r="AS9" s="389">
        <v>422.97020000000003</v>
      </c>
      <c r="AT9" s="389">
        <v>285.50225</v>
      </c>
    </row>
    <row r="10" spans="1:46" ht="18" customHeight="1">
      <c r="A10" s="364" t="s">
        <v>117</v>
      </c>
      <c r="B10" s="366">
        <f t="shared" si="1"/>
        <v>6.503779034367373</v>
      </c>
      <c r="C10" s="367">
        <f t="shared" si="2"/>
        <v>7.111464968152866</v>
      </c>
      <c r="D10" s="367">
        <f t="shared" si="3"/>
        <v>5.896093100581878</v>
      </c>
      <c r="E10" s="377">
        <v>314</v>
      </c>
      <c r="F10" s="377">
        <v>1203</v>
      </c>
      <c r="G10" s="377">
        <v>58</v>
      </c>
      <c r="H10" s="377">
        <v>50</v>
      </c>
      <c r="I10" s="377">
        <v>49</v>
      </c>
      <c r="J10" s="377">
        <v>0</v>
      </c>
      <c r="K10" s="377">
        <v>20</v>
      </c>
      <c r="L10" s="377">
        <v>7</v>
      </c>
      <c r="M10" s="377">
        <v>118</v>
      </c>
      <c r="N10" s="377">
        <v>58</v>
      </c>
      <c r="O10" s="377">
        <v>85</v>
      </c>
      <c r="P10" s="377">
        <v>0</v>
      </c>
      <c r="Q10" s="377">
        <v>398</v>
      </c>
      <c r="R10" s="377">
        <v>692</v>
      </c>
      <c r="S10" s="377">
        <v>22</v>
      </c>
      <c r="T10" s="377">
        <v>28</v>
      </c>
      <c r="U10" s="377">
        <v>0</v>
      </c>
      <c r="V10" s="377">
        <v>0</v>
      </c>
      <c r="W10" s="377">
        <v>119</v>
      </c>
      <c r="X10" s="377">
        <v>6.75</v>
      </c>
      <c r="Y10" s="377">
        <v>9.05</v>
      </c>
      <c r="Z10" s="377">
        <v>7.5</v>
      </c>
      <c r="AA10" s="377">
        <v>7.25</v>
      </c>
      <c r="AB10" s="377">
        <v>7.75</v>
      </c>
      <c r="AC10" s="377">
        <v>10</v>
      </c>
      <c r="AD10" s="377">
        <v>6.75</v>
      </c>
      <c r="AE10" s="377">
        <v>9</v>
      </c>
      <c r="AF10" s="377">
        <v>6</v>
      </c>
      <c r="AG10" s="377">
        <v>2</v>
      </c>
      <c r="AH10" s="377">
        <v>5.5</v>
      </c>
      <c r="AI10" s="377">
        <v>5</v>
      </c>
      <c r="AJ10" s="377">
        <v>4.25</v>
      </c>
      <c r="AK10" s="377">
        <v>5</v>
      </c>
      <c r="AL10" s="377">
        <v>3.5</v>
      </c>
      <c r="AM10" s="377">
        <v>3</v>
      </c>
      <c r="AN10" s="377">
        <v>1.5</v>
      </c>
      <c r="AO10" s="377">
        <f t="shared" si="0"/>
        <v>1517</v>
      </c>
      <c r="AP10" s="378">
        <v>6.06</v>
      </c>
      <c r="AQ10" s="378">
        <v>155.1</v>
      </c>
      <c r="AR10" s="389">
        <v>1425.8</v>
      </c>
      <c r="AS10" s="389">
        <v>1475.6635703999998</v>
      </c>
      <c r="AT10" s="389">
        <v>996.0637169999999</v>
      </c>
    </row>
    <row r="11" spans="1:46" ht="18" customHeight="1">
      <c r="A11" s="364" t="s">
        <v>118</v>
      </c>
      <c r="B11" s="366">
        <f t="shared" si="1"/>
        <v>8.686495279930153</v>
      </c>
      <c r="C11" s="367">
        <f t="shared" si="2"/>
        <v>12.095918367346938</v>
      </c>
      <c r="D11" s="367">
        <f t="shared" si="3"/>
        <v>5.277072192513369</v>
      </c>
      <c r="E11" s="377">
        <v>147</v>
      </c>
      <c r="F11" s="377">
        <v>748</v>
      </c>
      <c r="G11" s="377">
        <v>51</v>
      </c>
      <c r="H11" s="377">
        <v>32</v>
      </c>
      <c r="I11" s="377">
        <v>42</v>
      </c>
      <c r="J11" s="377">
        <v>2</v>
      </c>
      <c r="K11" s="377">
        <v>22</v>
      </c>
      <c r="L11" s="377">
        <v>3</v>
      </c>
      <c r="M11" s="377">
        <v>91</v>
      </c>
      <c r="N11" s="377">
        <v>19</v>
      </c>
      <c r="O11" s="377">
        <v>7</v>
      </c>
      <c r="P11" s="377">
        <v>0</v>
      </c>
      <c r="Q11" s="377">
        <v>253</v>
      </c>
      <c r="R11" s="377">
        <v>389</v>
      </c>
      <c r="S11" s="377">
        <v>19</v>
      </c>
      <c r="T11" s="377">
        <v>25</v>
      </c>
      <c r="U11" s="377">
        <v>0</v>
      </c>
      <c r="V11" s="377">
        <v>0</v>
      </c>
      <c r="W11" s="377">
        <v>128</v>
      </c>
      <c r="X11" s="377">
        <v>6.75</v>
      </c>
      <c r="Y11" s="377">
        <v>9.05</v>
      </c>
      <c r="Z11" s="377">
        <v>7.5</v>
      </c>
      <c r="AA11" s="377">
        <v>7.25</v>
      </c>
      <c r="AB11" s="377">
        <v>7.75</v>
      </c>
      <c r="AC11" s="377">
        <v>10</v>
      </c>
      <c r="AD11" s="377">
        <v>6.75</v>
      </c>
      <c r="AE11" s="377">
        <v>9</v>
      </c>
      <c r="AF11" s="377">
        <v>6</v>
      </c>
      <c r="AG11" s="377">
        <v>2</v>
      </c>
      <c r="AH11" s="377">
        <v>5.5</v>
      </c>
      <c r="AI11" s="377">
        <v>5</v>
      </c>
      <c r="AJ11" s="377">
        <v>4.25</v>
      </c>
      <c r="AK11" s="377">
        <v>5</v>
      </c>
      <c r="AL11" s="377">
        <v>3.5</v>
      </c>
      <c r="AM11" s="377">
        <v>3</v>
      </c>
      <c r="AN11" s="377">
        <v>1.5</v>
      </c>
      <c r="AO11" s="377">
        <f t="shared" si="0"/>
        <v>895</v>
      </c>
      <c r="AP11" s="378">
        <v>6</v>
      </c>
      <c r="AQ11" s="378">
        <v>155.1</v>
      </c>
      <c r="AR11" s="389">
        <v>832.9</v>
      </c>
      <c r="AS11" s="389">
        <v>861.9924</v>
      </c>
      <c r="AT11" s="389">
        <v>581.8395</v>
      </c>
    </row>
    <row r="12" spans="1:46" ht="18" customHeight="1">
      <c r="A12" s="364" t="s">
        <v>119</v>
      </c>
      <c r="B12" s="366">
        <f t="shared" si="1"/>
        <v>8.485605722871671</v>
      </c>
      <c r="C12" s="367">
        <f t="shared" si="2"/>
        <v>9.852588996763753</v>
      </c>
      <c r="D12" s="367">
        <f t="shared" si="3"/>
        <v>7.1186224489795915</v>
      </c>
      <c r="E12" s="377">
        <v>309</v>
      </c>
      <c r="F12" s="377">
        <v>784</v>
      </c>
      <c r="G12" s="377">
        <v>103</v>
      </c>
      <c r="H12" s="377">
        <v>84</v>
      </c>
      <c r="I12" s="377">
        <v>63</v>
      </c>
      <c r="J12" s="377">
        <v>0</v>
      </c>
      <c r="K12" s="377">
        <v>34</v>
      </c>
      <c r="L12" s="377">
        <v>7</v>
      </c>
      <c r="M12" s="377">
        <v>116</v>
      </c>
      <c r="N12" s="377">
        <v>39</v>
      </c>
      <c r="O12" s="377">
        <v>91</v>
      </c>
      <c r="P12" s="377">
        <v>0</v>
      </c>
      <c r="Q12" s="377">
        <v>243</v>
      </c>
      <c r="R12" s="377">
        <v>527</v>
      </c>
      <c r="S12" s="377">
        <v>46</v>
      </c>
      <c r="T12" s="377">
        <v>29</v>
      </c>
      <c r="U12" s="377">
        <v>0</v>
      </c>
      <c r="V12" s="377">
        <v>0</v>
      </c>
      <c r="W12" s="377">
        <v>248</v>
      </c>
      <c r="X12" s="377">
        <v>6.75</v>
      </c>
      <c r="Y12" s="377">
        <v>9.05</v>
      </c>
      <c r="Z12" s="377">
        <v>7.5</v>
      </c>
      <c r="AA12" s="377">
        <v>7.25</v>
      </c>
      <c r="AB12" s="377">
        <v>7.75</v>
      </c>
      <c r="AC12" s="377">
        <v>10</v>
      </c>
      <c r="AD12" s="377">
        <v>6.75</v>
      </c>
      <c r="AE12" s="377">
        <v>9</v>
      </c>
      <c r="AF12" s="377">
        <v>6</v>
      </c>
      <c r="AG12" s="377">
        <v>2</v>
      </c>
      <c r="AH12" s="377">
        <v>5.5</v>
      </c>
      <c r="AI12" s="377">
        <v>5</v>
      </c>
      <c r="AJ12" s="377">
        <v>4.25</v>
      </c>
      <c r="AK12" s="377">
        <v>5</v>
      </c>
      <c r="AL12" s="377">
        <v>3.5</v>
      </c>
      <c r="AM12" s="377">
        <v>3</v>
      </c>
      <c r="AN12" s="377">
        <v>1.5</v>
      </c>
      <c r="AO12" s="377">
        <f t="shared" si="0"/>
        <v>1093</v>
      </c>
      <c r="AP12" s="378">
        <v>6.12</v>
      </c>
      <c r="AQ12" s="378">
        <v>155.1</v>
      </c>
      <c r="AR12" s="389">
        <v>1037.5</v>
      </c>
      <c r="AS12" s="389">
        <v>1073.7439632</v>
      </c>
      <c r="AT12" s="389">
        <v>724.7704859999999</v>
      </c>
    </row>
    <row r="13" spans="1:46" ht="18" customHeight="1">
      <c r="A13" s="364" t="s">
        <v>120</v>
      </c>
      <c r="B13" s="366">
        <f t="shared" si="1"/>
        <v>5.146444709924712</v>
      </c>
      <c r="C13" s="367">
        <f t="shared" si="2"/>
        <v>7.2355871886121</v>
      </c>
      <c r="D13" s="367">
        <f t="shared" si="3"/>
        <v>3.0573022312373226</v>
      </c>
      <c r="E13" s="377">
        <v>281</v>
      </c>
      <c r="F13" s="377">
        <v>986</v>
      </c>
      <c r="G13" s="377">
        <v>66</v>
      </c>
      <c r="H13" s="377">
        <v>44</v>
      </c>
      <c r="I13" s="377">
        <v>32</v>
      </c>
      <c r="J13" s="377">
        <v>3</v>
      </c>
      <c r="K13" s="377">
        <v>24</v>
      </c>
      <c r="L13" s="377">
        <v>6</v>
      </c>
      <c r="M13" s="377">
        <v>101</v>
      </c>
      <c r="N13" s="377">
        <v>16</v>
      </c>
      <c r="O13" s="377">
        <v>52</v>
      </c>
      <c r="P13" s="377">
        <v>1</v>
      </c>
      <c r="Q13" s="377">
        <v>324</v>
      </c>
      <c r="R13" s="377">
        <v>98</v>
      </c>
      <c r="S13" s="377">
        <v>6</v>
      </c>
      <c r="T13" s="377">
        <v>20</v>
      </c>
      <c r="U13" s="377">
        <v>0</v>
      </c>
      <c r="V13" s="377">
        <v>0</v>
      </c>
      <c r="W13" s="377">
        <v>106</v>
      </c>
      <c r="X13" s="377">
        <v>6.75</v>
      </c>
      <c r="Y13" s="377">
        <v>9.05</v>
      </c>
      <c r="Z13" s="377">
        <v>7.5</v>
      </c>
      <c r="AA13" s="377">
        <v>7.25</v>
      </c>
      <c r="AB13" s="377">
        <v>7.75</v>
      </c>
      <c r="AC13" s="377">
        <v>10</v>
      </c>
      <c r="AD13" s="377">
        <v>6.75</v>
      </c>
      <c r="AE13" s="377">
        <v>9</v>
      </c>
      <c r="AF13" s="377">
        <v>6</v>
      </c>
      <c r="AG13" s="377">
        <v>2</v>
      </c>
      <c r="AH13" s="377">
        <v>5.5</v>
      </c>
      <c r="AI13" s="377">
        <v>5</v>
      </c>
      <c r="AJ13" s="377">
        <v>4.25</v>
      </c>
      <c r="AK13" s="377">
        <v>5</v>
      </c>
      <c r="AL13" s="377">
        <v>3.5</v>
      </c>
      <c r="AM13" s="377">
        <v>3</v>
      </c>
      <c r="AN13" s="377">
        <v>1.5</v>
      </c>
      <c r="AO13" s="377">
        <f t="shared" si="0"/>
        <v>1267</v>
      </c>
      <c r="AP13" s="378">
        <v>6.17</v>
      </c>
      <c r="AQ13" s="378">
        <v>155.1</v>
      </c>
      <c r="AR13" s="389">
        <v>1212.5</v>
      </c>
      <c r="AS13" s="389">
        <v>1254.8474428000002</v>
      </c>
      <c r="AT13" s="389">
        <v>847.0142065</v>
      </c>
    </row>
    <row r="14" spans="1:46" s="181" customFormat="1" ht="18" customHeight="1">
      <c r="A14" s="363" t="s">
        <v>295</v>
      </c>
      <c r="B14" s="367"/>
      <c r="C14" s="367"/>
      <c r="D14" s="367"/>
      <c r="E14" s="387">
        <f aca="true" t="shared" si="4" ref="E14:AO14">SUM(E5:E13)</f>
        <v>5935</v>
      </c>
      <c r="F14" s="377">
        <f t="shared" si="4"/>
        <v>15613</v>
      </c>
      <c r="G14" s="377">
        <f t="shared" si="4"/>
        <v>1845</v>
      </c>
      <c r="H14" s="377">
        <f t="shared" si="4"/>
        <v>1420</v>
      </c>
      <c r="I14" s="377">
        <f t="shared" si="4"/>
        <v>1037</v>
      </c>
      <c r="J14" s="377">
        <f t="shared" si="4"/>
        <v>47</v>
      </c>
      <c r="K14" s="377">
        <f t="shared" si="4"/>
        <v>523</v>
      </c>
      <c r="L14" s="377">
        <f t="shared" si="4"/>
        <v>134</v>
      </c>
      <c r="M14" s="377">
        <f t="shared" si="4"/>
        <v>2016</v>
      </c>
      <c r="N14" s="377">
        <f t="shared" si="4"/>
        <v>429</v>
      </c>
      <c r="O14" s="377">
        <f t="shared" si="4"/>
        <v>1135</v>
      </c>
      <c r="P14" s="377">
        <f t="shared" si="4"/>
        <v>1</v>
      </c>
      <c r="Q14" s="377">
        <f t="shared" si="4"/>
        <v>3846</v>
      </c>
      <c r="R14" s="377">
        <f t="shared" si="4"/>
        <v>8663</v>
      </c>
      <c r="S14" s="377">
        <f t="shared" si="4"/>
        <v>269</v>
      </c>
      <c r="T14" s="377">
        <f t="shared" si="4"/>
        <v>431</v>
      </c>
      <c r="U14" s="377">
        <f t="shared" si="4"/>
        <v>0</v>
      </c>
      <c r="V14" s="377">
        <f t="shared" si="4"/>
        <v>0</v>
      </c>
      <c r="W14" s="377">
        <f t="shared" si="4"/>
        <v>1985</v>
      </c>
      <c r="X14" s="377">
        <f t="shared" si="4"/>
        <v>60.75</v>
      </c>
      <c r="Y14" s="377">
        <f t="shared" si="4"/>
        <v>81.44999999999999</v>
      </c>
      <c r="Z14" s="377">
        <f t="shared" si="4"/>
        <v>67.5</v>
      </c>
      <c r="AA14" s="377">
        <f t="shared" si="4"/>
        <v>65.25</v>
      </c>
      <c r="AB14" s="377">
        <f t="shared" si="4"/>
        <v>69.75</v>
      </c>
      <c r="AC14" s="377">
        <f t="shared" si="4"/>
        <v>90</v>
      </c>
      <c r="AD14" s="377">
        <f t="shared" si="4"/>
        <v>60.75</v>
      </c>
      <c r="AE14" s="377">
        <f t="shared" si="4"/>
        <v>81</v>
      </c>
      <c r="AF14" s="377">
        <f t="shared" si="4"/>
        <v>54</v>
      </c>
      <c r="AG14" s="377">
        <f t="shared" si="4"/>
        <v>18</v>
      </c>
      <c r="AH14" s="377">
        <f t="shared" si="4"/>
        <v>49.5</v>
      </c>
      <c r="AI14" s="377">
        <f t="shared" si="4"/>
        <v>45</v>
      </c>
      <c r="AJ14" s="377">
        <f t="shared" si="4"/>
        <v>38.25</v>
      </c>
      <c r="AK14" s="377">
        <f t="shared" si="4"/>
        <v>45</v>
      </c>
      <c r="AL14" s="377">
        <f t="shared" si="4"/>
        <v>31.5</v>
      </c>
      <c r="AM14" s="377">
        <f t="shared" si="4"/>
        <v>27</v>
      </c>
      <c r="AN14" s="377">
        <f t="shared" si="4"/>
        <v>13.5</v>
      </c>
      <c r="AO14" s="377">
        <f t="shared" si="4"/>
        <v>21548</v>
      </c>
      <c r="AP14" s="388"/>
      <c r="AQ14" s="388"/>
      <c r="AR14" s="188">
        <f>SUM(AR5:AR13)</f>
        <v>20445.400000000005</v>
      </c>
      <c r="AS14" s="188">
        <v>21156.910885999998</v>
      </c>
      <c r="AT14" s="188">
        <v>14280.676342499999</v>
      </c>
    </row>
    <row r="15" ht="15.75">
      <c r="E15" s="379"/>
    </row>
    <row r="16" spans="41:46" ht="15.75">
      <c r="AO16" s="380"/>
      <c r="AP16" s="380"/>
      <c r="AQ16" s="381"/>
      <c r="AR16" s="382"/>
      <c r="AT16" s="383"/>
    </row>
    <row r="17" spans="1:46" ht="22.5" customHeight="1">
      <c r="A17" s="365"/>
      <c r="B17" s="384"/>
      <c r="C17" s="384"/>
      <c r="D17" s="384"/>
      <c r="E17" s="385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T17" s="383"/>
    </row>
    <row r="18" spans="43:46" ht="15.75">
      <c r="AQ18" s="386"/>
      <c r="AT18" s="383"/>
    </row>
    <row r="19" ht="15.75">
      <c r="E19" s="181"/>
    </row>
    <row r="20" ht="15.75">
      <c r="AQ20" s="386"/>
    </row>
    <row r="21" ht="15.75">
      <c r="A21" s="369"/>
    </row>
    <row r="24" ht="15.75">
      <c r="A24" s="369"/>
    </row>
  </sheetData>
  <sheetProtection/>
  <mergeCells count="2">
    <mergeCell ref="A2:AT2"/>
    <mergeCell ref="A1:AT1"/>
  </mergeCells>
  <printOptions/>
  <pageMargins left="0.39" right="0.32" top="0.75" bottom="0.75" header="0.3" footer="0.3"/>
  <pageSetup fitToHeight="1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tabSelected="1" view="pageBreakPreview" zoomScale="60" zoomScalePageLayoutView="0" workbookViewId="0" topLeftCell="A1">
      <selection activeCell="G13" sqref="G13"/>
    </sheetView>
  </sheetViews>
  <sheetFormatPr defaultColWidth="29.625" defaultRowHeight="12.75"/>
  <cols>
    <col min="1" max="1" width="46.75390625" style="28" customWidth="1"/>
    <col min="2" max="2" width="27.25390625" style="28" customWidth="1"/>
    <col min="3" max="3" width="17.375" style="28" customWidth="1"/>
    <col min="4" max="4" width="18.00390625" style="28" customWidth="1"/>
    <col min="5" max="5" width="33.375" style="28" bestFit="1" customWidth="1"/>
    <col min="6" max="6" width="29.375" style="28" customWidth="1"/>
    <col min="7" max="7" width="28.125" style="28" customWidth="1"/>
    <col min="8" max="8" width="9.125" style="28" hidden="1" customWidth="1"/>
    <col min="9" max="9" width="16.625" style="28" hidden="1" customWidth="1"/>
    <col min="10" max="254" width="9.125" style="28" customWidth="1"/>
    <col min="255" max="255" width="54.25390625" style="28" customWidth="1"/>
    <col min="256" max="16384" width="29.625" style="28" customWidth="1"/>
  </cols>
  <sheetData>
    <row r="1" spans="1:7" ht="15.75">
      <c r="A1" s="624" t="s">
        <v>102</v>
      </c>
      <c r="B1" s="624"/>
      <c r="C1" s="624"/>
      <c r="D1" s="624"/>
      <c r="E1" s="624"/>
      <c r="F1" s="624"/>
      <c r="G1" s="624"/>
    </row>
    <row r="2" spans="1:7" ht="33.75" customHeight="1">
      <c r="A2" s="656" t="s">
        <v>381</v>
      </c>
      <c r="B2" s="656"/>
      <c r="C2" s="656"/>
      <c r="D2" s="656"/>
      <c r="E2" s="656"/>
      <c r="F2" s="656"/>
      <c r="G2" s="656"/>
    </row>
    <row r="3" spans="1:7" ht="23.25" customHeight="1">
      <c r="A3" s="656"/>
      <c r="B3" s="656"/>
      <c r="C3" s="656"/>
      <c r="D3" s="656"/>
      <c r="E3" s="656"/>
      <c r="F3" s="656"/>
      <c r="G3" s="656"/>
    </row>
    <row r="4" spans="2:7" ht="15.75">
      <c r="B4" s="286"/>
      <c r="C4" s="286"/>
      <c r="D4" s="286"/>
      <c r="E4" s="286"/>
      <c r="F4" s="286"/>
      <c r="G4" s="286"/>
    </row>
    <row r="5" spans="1:7" ht="15.75">
      <c r="A5" s="305"/>
      <c r="B5" s="305"/>
      <c r="C5" s="306"/>
      <c r="D5" s="307"/>
      <c r="E5" s="100"/>
      <c r="G5" s="308" t="s">
        <v>30</v>
      </c>
    </row>
    <row r="6" spans="1:7" ht="15.75">
      <c r="A6" s="524" t="s">
        <v>304</v>
      </c>
      <c r="B6" s="623" t="s">
        <v>382</v>
      </c>
      <c r="C6" s="623"/>
      <c r="D6" s="623"/>
      <c r="E6" s="623"/>
      <c r="F6" s="623"/>
      <c r="G6" s="623"/>
    </row>
    <row r="7" spans="1:7" ht="225" customHeight="1">
      <c r="A7" s="524"/>
      <c r="B7" s="287" t="s">
        <v>383</v>
      </c>
      <c r="C7" s="287" t="s">
        <v>384</v>
      </c>
      <c r="D7" s="287" t="s">
        <v>385</v>
      </c>
      <c r="E7" s="287" t="s">
        <v>386</v>
      </c>
      <c r="F7" s="287" t="s">
        <v>387</v>
      </c>
      <c r="G7" s="287" t="s">
        <v>388</v>
      </c>
    </row>
    <row r="8" spans="1:7" ht="15.75">
      <c r="A8" s="287">
        <v>1</v>
      </c>
      <c r="B8" s="287">
        <v>2</v>
      </c>
      <c r="C8" s="287">
        <v>3</v>
      </c>
      <c r="D8" s="287">
        <v>4</v>
      </c>
      <c r="E8" s="290">
        <v>5</v>
      </c>
      <c r="F8" s="290">
        <v>6</v>
      </c>
      <c r="G8" s="290">
        <v>7</v>
      </c>
    </row>
    <row r="9" spans="1:9" ht="18" customHeight="1">
      <c r="A9" s="209" t="s">
        <v>389</v>
      </c>
      <c r="B9" s="650">
        <v>1118.4</v>
      </c>
      <c r="C9" s="653">
        <v>2.75</v>
      </c>
      <c r="D9" s="309">
        <v>1</v>
      </c>
      <c r="E9" s="295">
        <v>406.7</v>
      </c>
      <c r="F9" s="295">
        <v>411.1</v>
      </c>
      <c r="G9" s="295">
        <v>426.3</v>
      </c>
      <c r="I9" s="310">
        <f>B9/D12</f>
        <v>406.69090909090914</v>
      </c>
    </row>
    <row r="10" spans="1:9" ht="18" customHeight="1">
      <c r="A10" s="209" t="s">
        <v>116</v>
      </c>
      <c r="B10" s="651"/>
      <c r="C10" s="653"/>
      <c r="D10" s="309">
        <v>0.75</v>
      </c>
      <c r="E10" s="295">
        <v>304.9</v>
      </c>
      <c r="F10" s="295">
        <v>308.3</v>
      </c>
      <c r="G10" s="295">
        <v>319.6</v>
      </c>
      <c r="I10" s="310"/>
    </row>
    <row r="11" spans="1:9" ht="18" customHeight="1">
      <c r="A11" s="209" t="s">
        <v>117</v>
      </c>
      <c r="B11" s="651"/>
      <c r="C11" s="653"/>
      <c r="D11" s="309">
        <v>1</v>
      </c>
      <c r="E11" s="295">
        <v>406.7</v>
      </c>
      <c r="F11" s="295">
        <v>411.1</v>
      </c>
      <c r="G11" s="295">
        <v>426.3</v>
      </c>
      <c r="I11" s="310"/>
    </row>
    <row r="12" spans="1:7" ht="18" customHeight="1">
      <c r="A12" s="290" t="s">
        <v>15</v>
      </c>
      <c r="B12" s="652"/>
      <c r="C12" s="654"/>
      <c r="D12" s="309">
        <f>D9+D10+D11</f>
        <v>2.75</v>
      </c>
      <c r="E12" s="295">
        <f>E9+E10+E11+0.1</f>
        <v>1118.3999999999999</v>
      </c>
      <c r="F12" s="295">
        <f>F9+F10+F11</f>
        <v>1130.5</v>
      </c>
      <c r="G12" s="295">
        <f>G9+G10+G11</f>
        <v>1172.2</v>
      </c>
    </row>
    <row r="13" ht="42" customHeight="1"/>
    <row r="14" spans="1:4" ht="47.25">
      <c r="A14" s="73" t="s">
        <v>4</v>
      </c>
      <c r="B14" s="69" t="s">
        <v>390</v>
      </c>
      <c r="C14" s="597" t="s">
        <v>391</v>
      </c>
      <c r="D14" s="597"/>
    </row>
    <row r="15" spans="1:4" ht="18" customHeight="1">
      <c r="A15" s="209" t="s">
        <v>389</v>
      </c>
      <c r="B15" s="311">
        <v>593</v>
      </c>
      <c r="C15" s="655">
        <v>1</v>
      </c>
      <c r="D15" s="655"/>
    </row>
    <row r="16" spans="1:4" ht="18" customHeight="1">
      <c r="A16" s="209" t="s">
        <v>116</v>
      </c>
      <c r="B16" s="311">
        <v>474</v>
      </c>
      <c r="C16" s="655">
        <v>0.75</v>
      </c>
      <c r="D16" s="655"/>
    </row>
    <row r="17" spans="1:4" ht="18" customHeight="1">
      <c r="A17" s="209" t="s">
        <v>117</v>
      </c>
      <c r="B17" s="312">
        <v>1859</v>
      </c>
      <c r="C17" s="655">
        <v>1</v>
      </c>
      <c r="D17" s="655"/>
    </row>
    <row r="18" spans="1:4" ht="18" customHeight="1">
      <c r="A18" s="290" t="s">
        <v>15</v>
      </c>
      <c r="B18" s="312">
        <f>B15+B16+B17</f>
        <v>2926</v>
      </c>
      <c r="C18" s="655">
        <f>C15+C16+C17</f>
        <v>2.75</v>
      </c>
      <c r="D18" s="636"/>
    </row>
  </sheetData>
  <sheetProtection/>
  <mergeCells count="12">
    <mergeCell ref="C18:D18"/>
    <mergeCell ref="A1:G1"/>
    <mergeCell ref="A2:G2"/>
    <mergeCell ref="A3:G3"/>
    <mergeCell ref="A6:A7"/>
    <mergeCell ref="B6:G6"/>
    <mergeCell ref="B9:B12"/>
    <mergeCell ref="C9:C12"/>
    <mergeCell ref="C14:D14"/>
    <mergeCell ref="C15:D15"/>
    <mergeCell ref="C16:D16"/>
    <mergeCell ref="C17:D17"/>
  </mergeCells>
  <printOptions/>
  <pageMargins left="0.45" right="0.3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8"/>
  <sheetViews>
    <sheetView zoomScalePageLayoutView="0" workbookViewId="0" topLeftCell="D1">
      <selection activeCell="G7" sqref="G7"/>
    </sheetView>
  </sheetViews>
  <sheetFormatPr defaultColWidth="18.25390625" defaultRowHeight="12.75"/>
  <cols>
    <col min="1" max="1" width="34.00390625" style="266" customWidth="1"/>
    <col min="2" max="2" width="20.75390625" style="266" customWidth="1"/>
    <col min="3" max="3" width="17.375" style="266" customWidth="1"/>
    <col min="4" max="4" width="18.125" style="266" customWidth="1"/>
    <col min="5" max="5" width="23.375" style="266" customWidth="1"/>
    <col min="6" max="6" width="24.875" style="266" customWidth="1"/>
    <col min="7" max="7" width="22.00390625" style="266" customWidth="1"/>
    <col min="8" max="8" width="20.875" style="266" customWidth="1"/>
    <col min="9" max="9" width="26.375" style="266" customWidth="1"/>
    <col min="10" max="10" width="28.25390625" style="266" customWidth="1"/>
    <col min="11" max="11" width="22.125" style="266" customWidth="1"/>
    <col min="12" max="13" width="13.375" style="266" customWidth="1"/>
    <col min="14" max="15" width="13.75390625" style="266" customWidth="1"/>
    <col min="16" max="17" width="13.375" style="266" customWidth="1"/>
    <col min="18" max="18" width="10.875" style="266" customWidth="1"/>
    <col min="19" max="19" width="12.25390625" style="266" customWidth="1"/>
    <col min="20" max="16384" width="18.25390625" style="266" customWidth="1"/>
  </cols>
  <sheetData>
    <row r="1" spans="1:15" ht="19.5">
      <c r="A1" s="528" t="s">
        <v>34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265"/>
      <c r="M1" s="265"/>
      <c r="N1" s="265"/>
      <c r="O1" s="265"/>
    </row>
    <row r="2" spans="1:15" ht="45" customHeight="1">
      <c r="A2" s="528" t="s">
        <v>35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265"/>
      <c r="M2" s="265"/>
      <c r="N2" s="265"/>
      <c r="O2" s="265"/>
    </row>
    <row r="3" spans="1:15" ht="22.5" customHeight="1">
      <c r="A3" s="528" t="s">
        <v>361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265"/>
      <c r="M3" s="265"/>
      <c r="N3" s="265"/>
      <c r="O3" s="265"/>
    </row>
    <row r="4" spans="1:15" ht="22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22.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7" ht="12.75">
      <c r="A6" s="267"/>
      <c r="B6" s="267"/>
      <c r="C6" s="268"/>
      <c r="D6" s="268"/>
      <c r="E6" s="268"/>
      <c r="F6" s="268"/>
      <c r="G6" s="268"/>
    </row>
    <row r="7" spans="1:15" s="271" customFormat="1" ht="191.25" customHeight="1">
      <c r="A7" s="214" t="s">
        <v>4</v>
      </c>
      <c r="B7" s="214" t="s">
        <v>36</v>
      </c>
      <c r="C7" s="269" t="s">
        <v>37</v>
      </c>
      <c r="D7" s="269" t="s">
        <v>38</v>
      </c>
      <c r="E7" s="269" t="s">
        <v>362</v>
      </c>
      <c r="F7" s="269" t="s">
        <v>39</v>
      </c>
      <c r="G7" s="269" t="s">
        <v>40</v>
      </c>
      <c r="H7" s="269" t="s">
        <v>41</v>
      </c>
      <c r="I7" s="269" t="s">
        <v>42</v>
      </c>
      <c r="J7" s="269" t="s">
        <v>363</v>
      </c>
      <c r="K7" s="269" t="s">
        <v>43</v>
      </c>
      <c r="L7" s="270"/>
      <c r="M7" s="270"/>
      <c r="N7" s="270"/>
      <c r="O7" s="270"/>
    </row>
    <row r="8" spans="1:15" s="39" customFormat="1" ht="15.75">
      <c r="A8" s="65"/>
      <c r="B8" s="272" t="s">
        <v>44</v>
      </c>
      <c r="C8" s="269" t="s">
        <v>45</v>
      </c>
      <c r="D8" s="269" t="s">
        <v>46</v>
      </c>
      <c r="E8" s="269" t="s">
        <v>47</v>
      </c>
      <c r="F8" s="269" t="s">
        <v>48</v>
      </c>
      <c r="G8" s="269"/>
      <c r="H8" s="269" t="s">
        <v>49</v>
      </c>
      <c r="I8" s="269" t="s">
        <v>50</v>
      </c>
      <c r="J8" s="269" t="s">
        <v>51</v>
      </c>
      <c r="K8" s="269"/>
      <c r="L8" s="270"/>
      <c r="M8" s="270"/>
      <c r="N8" s="270"/>
      <c r="O8" s="270"/>
    </row>
    <row r="9" spans="1:15" s="39" customFormat="1" ht="15.75">
      <c r="A9" s="273" t="s">
        <v>52</v>
      </c>
      <c r="B9" s="65"/>
      <c r="C9" s="274"/>
      <c r="D9" s="274">
        <f aca="true" t="shared" si="0" ref="D9:K9">D10+D12+D11</f>
        <v>17305</v>
      </c>
      <c r="E9" s="274">
        <f t="shared" si="0"/>
        <v>63452.2435</v>
      </c>
      <c r="F9" s="274">
        <f t="shared" si="0"/>
        <v>121135.86525</v>
      </c>
      <c r="G9" s="274">
        <f t="shared" si="0"/>
        <v>201893.10875</v>
      </c>
      <c r="H9" s="274">
        <f t="shared" si="0"/>
        <v>201893.10875</v>
      </c>
      <c r="I9" s="274">
        <f t="shared" si="0"/>
        <v>201893.10875</v>
      </c>
      <c r="J9" s="274">
        <f t="shared" si="0"/>
        <v>51886.528948750005</v>
      </c>
      <c r="K9" s="274">
        <f t="shared" si="0"/>
        <v>3045355.652385</v>
      </c>
      <c r="L9" s="275"/>
      <c r="M9" s="275"/>
      <c r="N9" s="275"/>
      <c r="O9" s="275"/>
    </row>
    <row r="10" spans="1:15" s="39" customFormat="1" ht="15.75">
      <c r="A10" s="273" t="s">
        <v>53</v>
      </c>
      <c r="B10" s="276">
        <v>1</v>
      </c>
      <c r="C10" s="274">
        <v>1</v>
      </c>
      <c r="D10" s="274">
        <v>6173</v>
      </c>
      <c r="E10" s="274">
        <f aca="true" t="shared" si="1" ref="E10:E20">D10*3.6667</f>
        <v>22634.5391</v>
      </c>
      <c r="F10" s="274">
        <f aca="true" t="shared" si="2" ref="F10:F20">(D10+E10)*1.5</f>
        <v>43211.308650000006</v>
      </c>
      <c r="G10" s="274">
        <f aca="true" t="shared" si="3" ref="G10:G20">D10+E10+F10</f>
        <v>72018.84775000002</v>
      </c>
      <c r="H10" s="274">
        <f aca="true" t="shared" si="4" ref="H10:H20">G10*C10</f>
        <v>72018.84775000002</v>
      </c>
      <c r="I10" s="274">
        <f aca="true" t="shared" si="5" ref="I10:I20">H10*B10</f>
        <v>72018.84775000002</v>
      </c>
      <c r="J10" s="274">
        <f aca="true" t="shared" si="6" ref="J10:J20">I10*0.257</f>
        <v>18508.843871750003</v>
      </c>
      <c r="K10" s="274">
        <f aca="true" t="shared" si="7" ref="K10:K20">(I10+J10)*12</f>
        <v>1086332.2994610001</v>
      </c>
      <c r="L10" s="277"/>
      <c r="M10" s="277"/>
      <c r="N10" s="277"/>
      <c r="O10" s="277"/>
    </row>
    <row r="11" spans="1:15" s="39" customFormat="1" ht="15.75">
      <c r="A11" s="273" t="s">
        <v>54</v>
      </c>
      <c r="B11" s="276">
        <v>1</v>
      </c>
      <c r="C11" s="274">
        <v>1</v>
      </c>
      <c r="D11" s="274">
        <v>5807</v>
      </c>
      <c r="E11" s="274">
        <f t="shared" si="1"/>
        <v>21292.5269</v>
      </c>
      <c r="F11" s="274">
        <f t="shared" si="2"/>
        <v>40649.29035</v>
      </c>
      <c r="G11" s="274">
        <f t="shared" si="3"/>
        <v>67748.81725000001</v>
      </c>
      <c r="H11" s="274">
        <f t="shared" si="4"/>
        <v>67748.81725000001</v>
      </c>
      <c r="I11" s="274">
        <f t="shared" si="5"/>
        <v>67748.81725000001</v>
      </c>
      <c r="J11" s="274">
        <f t="shared" si="6"/>
        <v>17411.446033250002</v>
      </c>
      <c r="K11" s="274">
        <f t="shared" si="7"/>
        <v>1021923.1593990001</v>
      </c>
      <c r="L11" s="277"/>
      <c r="M11" s="277"/>
      <c r="N11" s="277"/>
      <c r="O11" s="277"/>
    </row>
    <row r="12" spans="1:15" s="39" customFormat="1" ht="15.75">
      <c r="A12" s="273" t="s">
        <v>55</v>
      </c>
      <c r="B12" s="276">
        <v>1</v>
      </c>
      <c r="C12" s="274">
        <v>1</v>
      </c>
      <c r="D12" s="274">
        <v>5325</v>
      </c>
      <c r="E12" s="274">
        <f t="shared" si="1"/>
        <v>19525.1775</v>
      </c>
      <c r="F12" s="274">
        <f t="shared" si="2"/>
        <v>37275.26625</v>
      </c>
      <c r="G12" s="274">
        <f t="shared" si="3"/>
        <v>62125.443750000006</v>
      </c>
      <c r="H12" s="274">
        <f t="shared" si="4"/>
        <v>62125.443750000006</v>
      </c>
      <c r="I12" s="274">
        <f t="shared" si="5"/>
        <v>62125.443750000006</v>
      </c>
      <c r="J12" s="274">
        <f t="shared" si="6"/>
        <v>15966.239043750002</v>
      </c>
      <c r="K12" s="274">
        <f t="shared" si="7"/>
        <v>937100.193525</v>
      </c>
      <c r="L12" s="277"/>
      <c r="M12" s="277"/>
      <c r="N12" s="277"/>
      <c r="O12" s="277"/>
    </row>
    <row r="13" spans="1:15" s="39" customFormat="1" ht="16.5">
      <c r="A13" s="278" t="s">
        <v>8</v>
      </c>
      <c r="B13" s="276">
        <v>1</v>
      </c>
      <c r="C13" s="274">
        <v>1</v>
      </c>
      <c r="D13" s="274">
        <v>5325</v>
      </c>
      <c r="E13" s="274">
        <f t="shared" si="1"/>
        <v>19525.1775</v>
      </c>
      <c r="F13" s="274">
        <f t="shared" si="2"/>
        <v>37275.26625</v>
      </c>
      <c r="G13" s="274">
        <f t="shared" si="3"/>
        <v>62125.443750000006</v>
      </c>
      <c r="H13" s="274">
        <f t="shared" si="4"/>
        <v>62125.443750000006</v>
      </c>
      <c r="I13" s="274">
        <f t="shared" si="5"/>
        <v>62125.443750000006</v>
      </c>
      <c r="J13" s="274">
        <f t="shared" si="6"/>
        <v>15966.239043750002</v>
      </c>
      <c r="K13" s="274">
        <f t="shared" si="7"/>
        <v>937100.193525</v>
      </c>
      <c r="L13" s="277"/>
      <c r="M13" s="277"/>
      <c r="N13" s="277"/>
      <c r="O13" s="277"/>
    </row>
    <row r="14" spans="1:15" s="39" customFormat="1" ht="16.5">
      <c r="A14" s="278" t="s">
        <v>11</v>
      </c>
      <c r="B14" s="276">
        <v>1</v>
      </c>
      <c r="C14" s="274">
        <v>0.5</v>
      </c>
      <c r="D14" s="274">
        <v>5325</v>
      </c>
      <c r="E14" s="274">
        <f t="shared" si="1"/>
        <v>19525.1775</v>
      </c>
      <c r="F14" s="274">
        <f t="shared" si="2"/>
        <v>37275.26625</v>
      </c>
      <c r="G14" s="274">
        <f t="shared" si="3"/>
        <v>62125.443750000006</v>
      </c>
      <c r="H14" s="274">
        <f t="shared" si="4"/>
        <v>31062.721875000003</v>
      </c>
      <c r="I14" s="274">
        <f t="shared" si="5"/>
        <v>31062.721875000003</v>
      </c>
      <c r="J14" s="274">
        <f t="shared" si="6"/>
        <v>7983.119521875001</v>
      </c>
      <c r="K14" s="274">
        <f t="shared" si="7"/>
        <v>468550.0967625</v>
      </c>
      <c r="L14" s="277"/>
      <c r="M14" s="277"/>
      <c r="N14" s="277"/>
      <c r="O14" s="277"/>
    </row>
    <row r="15" spans="1:15" s="39" customFormat="1" ht="16.5">
      <c r="A15" s="278" t="s">
        <v>6</v>
      </c>
      <c r="B15" s="276">
        <v>1</v>
      </c>
      <c r="C15" s="274">
        <v>0.5</v>
      </c>
      <c r="D15" s="274">
        <v>5325</v>
      </c>
      <c r="E15" s="274">
        <f t="shared" si="1"/>
        <v>19525.1775</v>
      </c>
      <c r="F15" s="274">
        <f t="shared" si="2"/>
        <v>37275.26625</v>
      </c>
      <c r="G15" s="274">
        <f t="shared" si="3"/>
        <v>62125.443750000006</v>
      </c>
      <c r="H15" s="274">
        <f t="shared" si="4"/>
        <v>31062.721875000003</v>
      </c>
      <c r="I15" s="274">
        <f t="shared" si="5"/>
        <v>31062.721875000003</v>
      </c>
      <c r="J15" s="274">
        <f t="shared" si="6"/>
        <v>7983.119521875001</v>
      </c>
      <c r="K15" s="274">
        <f t="shared" si="7"/>
        <v>468550.0967625</v>
      </c>
      <c r="L15" s="277"/>
      <c r="M15" s="277"/>
      <c r="N15" s="277"/>
      <c r="O15" s="277"/>
    </row>
    <row r="16" spans="1:15" s="39" customFormat="1" ht="16.5">
      <c r="A16" s="278" t="s">
        <v>2</v>
      </c>
      <c r="B16" s="276">
        <v>1</v>
      </c>
      <c r="C16" s="274">
        <v>0.5</v>
      </c>
      <c r="D16" s="274">
        <v>5325</v>
      </c>
      <c r="E16" s="274">
        <f t="shared" si="1"/>
        <v>19525.1775</v>
      </c>
      <c r="F16" s="274">
        <f t="shared" si="2"/>
        <v>37275.26625</v>
      </c>
      <c r="G16" s="274">
        <f t="shared" si="3"/>
        <v>62125.443750000006</v>
      </c>
      <c r="H16" s="274">
        <f t="shared" si="4"/>
        <v>31062.721875000003</v>
      </c>
      <c r="I16" s="274">
        <f t="shared" si="5"/>
        <v>31062.721875000003</v>
      </c>
      <c r="J16" s="274">
        <f t="shared" si="6"/>
        <v>7983.119521875001</v>
      </c>
      <c r="K16" s="274">
        <f t="shared" si="7"/>
        <v>468550.0967625</v>
      </c>
      <c r="L16" s="277"/>
      <c r="M16" s="277"/>
      <c r="N16" s="277"/>
      <c r="O16" s="277"/>
    </row>
    <row r="17" spans="1:15" s="39" customFormat="1" ht="16.5">
      <c r="A17" s="278" t="s">
        <v>5</v>
      </c>
      <c r="B17" s="276">
        <v>1</v>
      </c>
      <c r="C17" s="274">
        <v>0.5</v>
      </c>
      <c r="D17" s="274">
        <v>5325</v>
      </c>
      <c r="E17" s="274">
        <f t="shared" si="1"/>
        <v>19525.1775</v>
      </c>
      <c r="F17" s="274">
        <f t="shared" si="2"/>
        <v>37275.26625</v>
      </c>
      <c r="G17" s="274">
        <f t="shared" si="3"/>
        <v>62125.443750000006</v>
      </c>
      <c r="H17" s="274">
        <f t="shared" si="4"/>
        <v>31062.721875000003</v>
      </c>
      <c r="I17" s="274">
        <f t="shared" si="5"/>
        <v>31062.721875000003</v>
      </c>
      <c r="J17" s="274">
        <f t="shared" si="6"/>
        <v>7983.119521875001</v>
      </c>
      <c r="K17" s="274">
        <f t="shared" si="7"/>
        <v>468550.0967625</v>
      </c>
      <c r="L17" s="277"/>
      <c r="M17" s="277"/>
      <c r="N17" s="277"/>
      <c r="O17" s="277"/>
    </row>
    <row r="18" spans="1:15" s="39" customFormat="1" ht="16.5">
      <c r="A18" s="278" t="s">
        <v>1</v>
      </c>
      <c r="B18" s="276">
        <v>1</v>
      </c>
      <c r="C18" s="274">
        <v>0.5</v>
      </c>
      <c r="D18" s="274">
        <v>5325</v>
      </c>
      <c r="E18" s="274">
        <f t="shared" si="1"/>
        <v>19525.1775</v>
      </c>
      <c r="F18" s="274">
        <f t="shared" si="2"/>
        <v>37275.26625</v>
      </c>
      <c r="G18" s="274">
        <f t="shared" si="3"/>
        <v>62125.443750000006</v>
      </c>
      <c r="H18" s="274">
        <f t="shared" si="4"/>
        <v>31062.721875000003</v>
      </c>
      <c r="I18" s="274">
        <f t="shared" si="5"/>
        <v>31062.721875000003</v>
      </c>
      <c r="J18" s="274">
        <f t="shared" si="6"/>
        <v>7983.119521875001</v>
      </c>
      <c r="K18" s="274">
        <f t="shared" si="7"/>
        <v>468550.0967625</v>
      </c>
      <c r="L18" s="277"/>
      <c r="M18" s="277"/>
      <c r="N18" s="277"/>
      <c r="O18" s="277"/>
    </row>
    <row r="19" spans="1:15" s="39" customFormat="1" ht="16.5">
      <c r="A19" s="278" t="s">
        <v>0</v>
      </c>
      <c r="B19" s="276">
        <v>1</v>
      </c>
      <c r="C19" s="274">
        <v>1</v>
      </c>
      <c r="D19" s="274">
        <v>5325</v>
      </c>
      <c r="E19" s="274">
        <f t="shared" si="1"/>
        <v>19525.1775</v>
      </c>
      <c r="F19" s="274">
        <f t="shared" si="2"/>
        <v>37275.26625</v>
      </c>
      <c r="G19" s="274">
        <f t="shared" si="3"/>
        <v>62125.443750000006</v>
      </c>
      <c r="H19" s="274">
        <f t="shared" si="4"/>
        <v>62125.443750000006</v>
      </c>
      <c r="I19" s="274">
        <f t="shared" si="5"/>
        <v>62125.443750000006</v>
      </c>
      <c r="J19" s="274">
        <f t="shared" si="6"/>
        <v>15966.239043750002</v>
      </c>
      <c r="K19" s="274">
        <f t="shared" si="7"/>
        <v>937100.193525</v>
      </c>
      <c r="L19" s="277"/>
      <c r="M19" s="277"/>
      <c r="N19" s="277"/>
      <c r="O19" s="277"/>
    </row>
    <row r="20" spans="1:15" s="39" customFormat="1" ht="16.5">
      <c r="A20" s="278" t="s">
        <v>7</v>
      </c>
      <c r="B20" s="276">
        <v>1</v>
      </c>
      <c r="C20" s="274">
        <v>1</v>
      </c>
      <c r="D20" s="274">
        <v>5325</v>
      </c>
      <c r="E20" s="274">
        <f t="shared" si="1"/>
        <v>19525.1775</v>
      </c>
      <c r="F20" s="274">
        <f t="shared" si="2"/>
        <v>37275.26625</v>
      </c>
      <c r="G20" s="274">
        <f t="shared" si="3"/>
        <v>62125.443750000006</v>
      </c>
      <c r="H20" s="274">
        <f t="shared" si="4"/>
        <v>62125.443750000006</v>
      </c>
      <c r="I20" s="274">
        <f t="shared" si="5"/>
        <v>62125.443750000006</v>
      </c>
      <c r="J20" s="274">
        <f t="shared" si="6"/>
        <v>15966.239043750002</v>
      </c>
      <c r="K20" s="274">
        <f t="shared" si="7"/>
        <v>937100.193525</v>
      </c>
      <c r="L20" s="277"/>
      <c r="M20" s="277"/>
      <c r="N20" s="277"/>
      <c r="O20" s="277"/>
    </row>
    <row r="21" spans="1:15" s="39" customFormat="1" ht="15.75">
      <c r="A21" s="279" t="s">
        <v>15</v>
      </c>
      <c r="B21" s="274">
        <f>SUM(B10:B20)</f>
        <v>11</v>
      </c>
      <c r="C21" s="274">
        <f>SUM(C10:C20)</f>
        <v>8.5</v>
      </c>
      <c r="D21" s="274">
        <f aca="true" t="shared" si="8" ref="D21:K21">D9+D13+D14+D15+D16+D17+D18+D19+D20</f>
        <v>59905</v>
      </c>
      <c r="E21" s="274">
        <f t="shared" si="8"/>
        <v>219653.66349999997</v>
      </c>
      <c r="F21" s="274">
        <f t="shared" si="8"/>
        <v>419337.9952499999</v>
      </c>
      <c r="G21" s="274">
        <f t="shared" si="8"/>
        <v>698896.6587499998</v>
      </c>
      <c r="H21" s="274">
        <f t="shared" si="8"/>
        <v>543583.049375</v>
      </c>
      <c r="I21" s="274">
        <f t="shared" si="8"/>
        <v>543583.049375</v>
      </c>
      <c r="J21" s="274">
        <f t="shared" si="8"/>
        <v>139700.84368937506</v>
      </c>
      <c r="K21" s="274">
        <f t="shared" si="8"/>
        <v>8199406.716772499</v>
      </c>
      <c r="L21" s="275"/>
      <c r="M21" s="275"/>
      <c r="N21" s="275"/>
      <c r="O21" s="275"/>
    </row>
    <row r="23" spans="12:15" ht="12" customHeight="1">
      <c r="L23" s="280"/>
      <c r="M23" s="280"/>
      <c r="N23" s="280"/>
      <c r="O23" s="280"/>
    </row>
    <row r="24" spans="1:11" ht="160.5" customHeight="1">
      <c r="A24" s="214" t="s">
        <v>4</v>
      </c>
      <c r="B24" s="269" t="s">
        <v>56</v>
      </c>
      <c r="C24" s="269" t="s">
        <v>57</v>
      </c>
      <c r="D24" s="269" t="s">
        <v>58</v>
      </c>
      <c r="E24" s="269" t="s">
        <v>59</v>
      </c>
      <c r="F24" s="269" t="s">
        <v>60</v>
      </c>
      <c r="G24" s="269" t="s">
        <v>61</v>
      </c>
      <c r="H24" s="269" t="s">
        <v>62</v>
      </c>
      <c r="I24" s="269" t="s">
        <v>294</v>
      </c>
      <c r="J24" s="269" t="s">
        <v>364</v>
      </c>
      <c r="K24" s="269" t="s">
        <v>365</v>
      </c>
    </row>
    <row r="25" spans="1:11" ht="15.75">
      <c r="A25" s="65"/>
      <c r="B25" s="269" t="s">
        <v>63</v>
      </c>
      <c r="C25" s="269" t="s">
        <v>64</v>
      </c>
      <c r="D25" s="269" t="s">
        <v>65</v>
      </c>
      <c r="E25" s="269" t="s">
        <v>66</v>
      </c>
      <c r="F25" s="269" t="s">
        <v>67</v>
      </c>
      <c r="G25" s="269" t="s">
        <v>68</v>
      </c>
      <c r="H25" s="269" t="s">
        <v>69</v>
      </c>
      <c r="I25" s="269" t="s">
        <v>69</v>
      </c>
      <c r="J25" s="269" t="s">
        <v>69</v>
      </c>
      <c r="K25" s="269" t="s">
        <v>69</v>
      </c>
    </row>
    <row r="26" spans="1:11" ht="15.75">
      <c r="A26" s="273" t="s">
        <v>32</v>
      </c>
      <c r="B26" s="274">
        <v>106800</v>
      </c>
      <c r="C26" s="274">
        <v>48060</v>
      </c>
      <c r="D26" s="274">
        <v>36645</v>
      </c>
      <c r="E26" s="274">
        <v>3204</v>
      </c>
      <c r="F26" s="274">
        <v>97188</v>
      </c>
      <c r="G26" s="274">
        <v>621985</v>
      </c>
      <c r="H26" s="274">
        <f>SUM(B26:G26)+K9</f>
        <v>3959237.652385</v>
      </c>
      <c r="I26" s="274">
        <v>3959.2</v>
      </c>
      <c r="J26" s="274">
        <v>3959.2</v>
      </c>
      <c r="K26" s="274">
        <v>3959.2</v>
      </c>
    </row>
    <row r="27" spans="1:11" ht="15.75" hidden="1">
      <c r="A27" s="273" t="s">
        <v>53</v>
      </c>
      <c r="B27" s="274">
        <v>35600</v>
      </c>
      <c r="C27" s="274">
        <v>16020</v>
      </c>
      <c r="D27" s="274">
        <v>12215</v>
      </c>
      <c r="E27" s="274">
        <v>1068</v>
      </c>
      <c r="F27" s="274">
        <v>32396</v>
      </c>
      <c r="G27" s="274">
        <v>243595</v>
      </c>
      <c r="H27" s="274">
        <f>SUM(B27:G27)</f>
        <v>340894</v>
      </c>
      <c r="I27" s="281">
        <v>1347.3</v>
      </c>
      <c r="J27" s="281">
        <v>1347.3</v>
      </c>
      <c r="K27" s="281">
        <v>1347.3</v>
      </c>
    </row>
    <row r="28" spans="1:11" ht="15.75" hidden="1">
      <c r="A28" s="273" t="s">
        <v>54</v>
      </c>
      <c r="B28" s="274">
        <v>35600</v>
      </c>
      <c r="C28" s="274">
        <v>16020</v>
      </c>
      <c r="D28" s="274">
        <v>12215</v>
      </c>
      <c r="E28" s="274">
        <v>1068</v>
      </c>
      <c r="F28" s="274">
        <v>32396</v>
      </c>
      <c r="G28" s="274">
        <v>189195</v>
      </c>
      <c r="H28" s="274">
        <f>SUM(B28:G28)</f>
        <v>286494</v>
      </c>
      <c r="I28" s="281">
        <v>1276.4</v>
      </c>
      <c r="J28" s="281">
        <v>1276.4</v>
      </c>
      <c r="K28" s="281">
        <v>1276.4</v>
      </c>
    </row>
    <row r="29" spans="1:11" ht="15.75" hidden="1">
      <c r="A29" s="273" t="s">
        <v>55</v>
      </c>
      <c r="B29" s="274">
        <v>35600</v>
      </c>
      <c r="C29" s="274">
        <v>16020</v>
      </c>
      <c r="D29" s="274">
        <v>12215</v>
      </c>
      <c r="E29" s="274">
        <v>1068</v>
      </c>
      <c r="F29" s="274">
        <v>32396</v>
      </c>
      <c r="G29" s="274">
        <v>189195</v>
      </c>
      <c r="H29" s="274">
        <f>SUM(B29:G29)</f>
        <v>286494</v>
      </c>
      <c r="I29" s="281">
        <v>1183.1</v>
      </c>
      <c r="J29" s="281">
        <v>1183.1</v>
      </c>
      <c r="K29" s="281">
        <v>1183.1</v>
      </c>
    </row>
    <row r="30" spans="1:11" ht="16.5">
      <c r="A30" s="278" t="s">
        <v>8</v>
      </c>
      <c r="B30" s="274">
        <v>62600</v>
      </c>
      <c r="C30" s="274">
        <v>26700</v>
      </c>
      <c r="D30" s="274">
        <v>27600</v>
      </c>
      <c r="E30" s="274">
        <v>5400</v>
      </c>
      <c r="F30" s="274">
        <v>17000</v>
      </c>
      <c r="G30" s="274">
        <v>103100</v>
      </c>
      <c r="H30" s="274">
        <f aca="true" t="shared" si="9" ref="H30:H37">B30+C30+D30+E30+F30+G30+K13</f>
        <v>1179500.193525</v>
      </c>
      <c r="I30" s="281">
        <v>1179.5</v>
      </c>
      <c r="J30" s="281">
        <v>1179.5</v>
      </c>
      <c r="K30" s="281">
        <v>1179.5</v>
      </c>
    </row>
    <row r="31" spans="1:11" ht="16.5">
      <c r="A31" s="278" t="s">
        <v>11</v>
      </c>
      <c r="B31" s="274">
        <v>85575</v>
      </c>
      <c r="C31" s="274">
        <v>13400</v>
      </c>
      <c r="D31" s="274">
        <v>27600</v>
      </c>
      <c r="E31" s="274">
        <v>5400</v>
      </c>
      <c r="F31" s="274">
        <v>21000</v>
      </c>
      <c r="G31" s="274">
        <v>39301</v>
      </c>
      <c r="H31" s="274">
        <f t="shared" si="9"/>
        <v>660826.0967625</v>
      </c>
      <c r="I31" s="281">
        <v>660.8</v>
      </c>
      <c r="J31" s="281">
        <v>660.8</v>
      </c>
      <c r="K31" s="281">
        <v>660.8</v>
      </c>
    </row>
    <row r="32" spans="1:11" ht="16.5">
      <c r="A32" s="278" t="s">
        <v>6</v>
      </c>
      <c r="B32" s="274">
        <v>20727</v>
      </c>
      <c r="C32" s="274">
        <v>12700</v>
      </c>
      <c r="D32" s="274">
        <v>19850</v>
      </c>
      <c r="E32" s="274">
        <v>2000</v>
      </c>
      <c r="F32" s="274">
        <v>5460</v>
      </c>
      <c r="G32" s="274">
        <v>21000</v>
      </c>
      <c r="H32" s="274">
        <f t="shared" si="9"/>
        <v>550287.0967625</v>
      </c>
      <c r="I32" s="281">
        <v>550.3</v>
      </c>
      <c r="J32" s="281">
        <v>550.3</v>
      </c>
      <c r="K32" s="281">
        <v>550.3</v>
      </c>
    </row>
    <row r="33" spans="1:11" ht="16.5">
      <c r="A33" s="278" t="s">
        <v>2</v>
      </c>
      <c r="B33" s="274">
        <v>6500</v>
      </c>
      <c r="C33" s="274">
        <v>8250</v>
      </c>
      <c r="D33" s="274">
        <v>19800</v>
      </c>
      <c r="E33" s="274">
        <v>2000</v>
      </c>
      <c r="F33" s="274">
        <v>10500</v>
      </c>
      <c r="G33" s="274">
        <v>44426</v>
      </c>
      <c r="H33" s="274">
        <f t="shared" si="9"/>
        <v>560026.0967625</v>
      </c>
      <c r="I33" s="281">
        <v>560</v>
      </c>
      <c r="J33" s="281">
        <v>560</v>
      </c>
      <c r="K33" s="281">
        <v>560</v>
      </c>
    </row>
    <row r="34" spans="1:11" ht="16.5">
      <c r="A34" s="278" t="s">
        <v>5</v>
      </c>
      <c r="B34" s="274">
        <v>50000</v>
      </c>
      <c r="C34" s="274">
        <v>19600</v>
      </c>
      <c r="D34" s="274">
        <v>19800</v>
      </c>
      <c r="E34" s="274">
        <v>2000</v>
      </c>
      <c r="F34" s="274">
        <v>60000</v>
      </c>
      <c r="G34" s="274">
        <v>18500</v>
      </c>
      <c r="H34" s="274">
        <f t="shared" si="9"/>
        <v>638450.0967625</v>
      </c>
      <c r="I34" s="281">
        <v>638.5</v>
      </c>
      <c r="J34" s="281">
        <v>638.5</v>
      </c>
      <c r="K34" s="281">
        <v>638.5</v>
      </c>
    </row>
    <row r="35" spans="1:11" ht="16.5">
      <c r="A35" s="278" t="s">
        <v>1</v>
      </c>
      <c r="B35" s="274">
        <v>17640</v>
      </c>
      <c r="C35" s="274">
        <v>4208</v>
      </c>
      <c r="D35" s="274">
        <v>1105</v>
      </c>
      <c r="E35" s="274">
        <v>1150</v>
      </c>
      <c r="F35" s="274">
        <v>1050</v>
      </c>
      <c r="G35" s="274">
        <v>51623</v>
      </c>
      <c r="H35" s="274">
        <f t="shared" si="9"/>
        <v>545326.0967625</v>
      </c>
      <c r="I35" s="281">
        <v>545.3</v>
      </c>
      <c r="J35" s="281">
        <v>545.3</v>
      </c>
      <c r="K35" s="281">
        <v>545.3</v>
      </c>
    </row>
    <row r="36" spans="1:11" ht="16.5">
      <c r="A36" s="278" t="s">
        <v>0</v>
      </c>
      <c r="B36" s="274">
        <v>109350</v>
      </c>
      <c r="C36" s="274">
        <v>25120</v>
      </c>
      <c r="D36" s="274">
        <v>7107</v>
      </c>
      <c r="E36" s="274">
        <v>7400</v>
      </c>
      <c r="F36" s="274">
        <v>2000</v>
      </c>
      <c r="G36" s="274">
        <v>9780</v>
      </c>
      <c r="H36" s="274">
        <f t="shared" si="9"/>
        <v>1097857.193525</v>
      </c>
      <c r="I36" s="281">
        <v>1097.9</v>
      </c>
      <c r="J36" s="281">
        <v>1097.9</v>
      </c>
      <c r="K36" s="281">
        <v>1097.9</v>
      </c>
    </row>
    <row r="37" spans="1:11" ht="16.5">
      <c r="A37" s="278" t="s">
        <v>7</v>
      </c>
      <c r="B37" s="274">
        <v>2100</v>
      </c>
      <c r="C37" s="274">
        <v>17600</v>
      </c>
      <c r="D37" s="274">
        <v>19900</v>
      </c>
      <c r="E37" s="274">
        <v>2100</v>
      </c>
      <c r="F37" s="274">
        <v>21000</v>
      </c>
      <c r="G37" s="274">
        <v>112000</v>
      </c>
      <c r="H37" s="274">
        <f t="shared" si="9"/>
        <v>1111800.193525</v>
      </c>
      <c r="I37" s="281">
        <v>1111.8</v>
      </c>
      <c r="J37" s="281">
        <v>1111.8</v>
      </c>
      <c r="K37" s="281">
        <v>1111.8</v>
      </c>
    </row>
    <row r="38" spans="1:11" s="284" customFormat="1" ht="20.25" customHeight="1">
      <c r="A38" s="282" t="s">
        <v>15</v>
      </c>
      <c r="B38" s="283">
        <f aca="true" t="shared" si="10" ref="B38:K38">B26+B30+B31+B32+B33+B34+B35+B36+B37</f>
        <v>461292</v>
      </c>
      <c r="C38" s="283">
        <f t="shared" si="10"/>
        <v>175638</v>
      </c>
      <c r="D38" s="283">
        <f t="shared" si="10"/>
        <v>179407</v>
      </c>
      <c r="E38" s="283">
        <f t="shared" si="10"/>
        <v>30654</v>
      </c>
      <c r="F38" s="283">
        <f t="shared" si="10"/>
        <v>235198</v>
      </c>
      <c r="G38" s="283">
        <f t="shared" si="10"/>
        <v>1021715</v>
      </c>
      <c r="H38" s="283">
        <f t="shared" si="10"/>
        <v>10303310.716772499</v>
      </c>
      <c r="I38" s="283">
        <f t="shared" si="10"/>
        <v>10303.3</v>
      </c>
      <c r="J38" s="283">
        <f t="shared" si="10"/>
        <v>10303.3</v>
      </c>
      <c r="K38" s="283">
        <f t="shared" si="10"/>
        <v>10303.3</v>
      </c>
    </row>
  </sheetData>
  <sheetProtection/>
  <mergeCells count="3">
    <mergeCell ref="A1:K1"/>
    <mergeCell ref="A2:K2"/>
    <mergeCell ref="A3:K3"/>
  </mergeCells>
  <printOptions horizontalCentered="1"/>
  <pageMargins left="0.2362204724409449" right="0.2755905511811024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0"/>
  <sheetViews>
    <sheetView zoomScalePageLayoutView="0" workbookViewId="0" topLeftCell="A7">
      <selection activeCell="I20" sqref="I20"/>
    </sheetView>
  </sheetViews>
  <sheetFormatPr defaultColWidth="9.00390625" defaultRowHeight="12.75"/>
  <cols>
    <col min="1" max="1" width="40.25390625" style="351" customWidth="1"/>
    <col min="2" max="2" width="17.75390625" style="351" customWidth="1"/>
    <col min="3" max="3" width="19.875" style="351" customWidth="1"/>
    <col min="4" max="4" width="20.125" style="351" customWidth="1"/>
    <col min="5" max="5" width="17.25390625" style="351" customWidth="1"/>
    <col min="6" max="7" width="13.125" style="351" customWidth="1"/>
    <col min="8" max="16384" width="9.125" style="351" customWidth="1"/>
  </cols>
  <sheetData>
    <row r="1" spans="1:9" ht="15.75">
      <c r="A1" s="645" t="s">
        <v>107</v>
      </c>
      <c r="B1" s="645"/>
      <c r="C1" s="645"/>
      <c r="D1" s="645"/>
      <c r="E1" s="645"/>
      <c r="F1" s="645"/>
      <c r="G1" s="645"/>
      <c r="H1" s="645"/>
      <c r="I1" s="645"/>
    </row>
    <row r="2" spans="1:9" ht="8.25" customHeight="1">
      <c r="A2" s="657" t="s">
        <v>535</v>
      </c>
      <c r="B2" s="657"/>
      <c r="C2" s="657"/>
      <c r="D2" s="657"/>
      <c r="E2" s="657"/>
      <c r="F2" s="657"/>
      <c r="G2" s="657"/>
      <c r="H2" s="657"/>
      <c r="I2" s="657"/>
    </row>
    <row r="3" spans="1:9" ht="15.75">
      <c r="A3" s="657"/>
      <c r="B3" s="657"/>
      <c r="C3" s="657"/>
      <c r="D3" s="657"/>
      <c r="E3" s="657"/>
      <c r="F3" s="657"/>
      <c r="G3" s="657"/>
      <c r="H3" s="657"/>
      <c r="I3" s="657"/>
    </row>
    <row r="4" spans="1:9" ht="6" customHeight="1">
      <c r="A4" s="657"/>
      <c r="B4" s="657"/>
      <c r="C4" s="657"/>
      <c r="D4" s="657"/>
      <c r="E4" s="657"/>
      <c r="F4" s="657"/>
      <c r="G4" s="657"/>
      <c r="H4" s="657"/>
      <c r="I4" s="657"/>
    </row>
    <row r="5" spans="1:9" ht="31.5" customHeight="1">
      <c r="A5" s="657"/>
      <c r="B5" s="657"/>
      <c r="C5" s="657"/>
      <c r="D5" s="657"/>
      <c r="E5" s="657"/>
      <c r="F5" s="657"/>
      <c r="G5" s="657"/>
      <c r="H5" s="657"/>
      <c r="I5" s="657"/>
    </row>
    <row r="6" spans="1:9" ht="18" customHeight="1">
      <c r="A6" s="657"/>
      <c r="B6" s="657"/>
      <c r="C6" s="657"/>
      <c r="D6" s="657"/>
      <c r="E6" s="657"/>
      <c r="F6" s="657"/>
      <c r="G6" s="657"/>
      <c r="H6" s="657"/>
      <c r="I6" s="657"/>
    </row>
    <row r="7" spans="8:9" ht="15.75">
      <c r="H7" s="658" t="s">
        <v>536</v>
      </c>
      <c r="I7" s="659"/>
    </row>
    <row r="8" spans="1:9" ht="37.5" customHeight="1">
      <c r="A8" s="660" t="s">
        <v>481</v>
      </c>
      <c r="B8" s="660" t="s">
        <v>537</v>
      </c>
      <c r="C8" s="660" t="s">
        <v>538</v>
      </c>
      <c r="D8" s="660" t="s">
        <v>539</v>
      </c>
      <c r="E8" s="660" t="s">
        <v>540</v>
      </c>
      <c r="F8" s="660" t="s">
        <v>322</v>
      </c>
      <c r="G8" s="662" t="s">
        <v>541</v>
      </c>
      <c r="H8" s="663"/>
      <c r="I8" s="664"/>
    </row>
    <row r="9" spans="1:9" ht="135.75" customHeight="1">
      <c r="A9" s="661"/>
      <c r="B9" s="661"/>
      <c r="C9" s="661"/>
      <c r="D9" s="661"/>
      <c r="E9" s="661"/>
      <c r="F9" s="661"/>
      <c r="G9" s="399" t="s">
        <v>286</v>
      </c>
      <c r="H9" s="399" t="s">
        <v>287</v>
      </c>
      <c r="I9" s="399" t="s">
        <v>328</v>
      </c>
    </row>
    <row r="10" spans="1:9" s="350" customFormat="1" ht="18" customHeight="1">
      <c r="A10" s="442">
        <v>1</v>
      </c>
      <c r="B10" s="442">
        <v>2</v>
      </c>
      <c r="C10" s="442">
        <v>3</v>
      </c>
      <c r="D10" s="442">
        <v>4</v>
      </c>
      <c r="E10" s="442">
        <v>5</v>
      </c>
      <c r="F10" s="442">
        <v>6</v>
      </c>
      <c r="G10" s="442">
        <v>7</v>
      </c>
      <c r="H10" s="447">
        <v>8</v>
      </c>
      <c r="I10" s="447">
        <v>9</v>
      </c>
    </row>
    <row r="11" spans="1:9" ht="15.75">
      <c r="A11" s="65" t="s">
        <v>10</v>
      </c>
      <c r="B11" s="290">
        <v>18</v>
      </c>
      <c r="C11" s="295">
        <v>39</v>
      </c>
      <c r="D11" s="295">
        <f>B11*C11</f>
        <v>702</v>
      </c>
      <c r="E11" s="295">
        <v>118.12</v>
      </c>
      <c r="F11" s="461">
        <v>12</v>
      </c>
      <c r="G11" s="462">
        <v>1029.70354032</v>
      </c>
      <c r="H11" s="462">
        <v>1070.7</v>
      </c>
      <c r="I11" s="462">
        <v>1113.6</v>
      </c>
    </row>
    <row r="12" spans="1:9" ht="15.75">
      <c r="A12" s="65" t="s">
        <v>113</v>
      </c>
      <c r="B12" s="290">
        <v>47</v>
      </c>
      <c r="C12" s="295">
        <v>45</v>
      </c>
      <c r="D12" s="295">
        <f aca="true" t="shared" si="0" ref="D12:D19">B12*C12</f>
        <v>2115</v>
      </c>
      <c r="E12" s="295">
        <v>102.64</v>
      </c>
      <c r="F12" s="461">
        <v>12</v>
      </c>
      <c r="G12" s="462">
        <v>2695.8</v>
      </c>
      <c r="H12" s="462">
        <v>2803.1</v>
      </c>
      <c r="I12" s="462">
        <v>2915.3</v>
      </c>
    </row>
    <row r="13" spans="1:9" ht="15.75">
      <c r="A13" s="65" t="s">
        <v>109</v>
      </c>
      <c r="B13" s="290">
        <v>24</v>
      </c>
      <c r="C13" s="295">
        <v>48.5</v>
      </c>
      <c r="D13" s="295">
        <f>B13*C13</f>
        <v>1164</v>
      </c>
      <c r="E13" s="295">
        <v>113.64</v>
      </c>
      <c r="F13" s="461">
        <v>12</v>
      </c>
      <c r="G13" s="462">
        <v>1648.8</v>
      </c>
      <c r="H13" s="462">
        <v>1714.6</v>
      </c>
      <c r="I13" s="462">
        <v>1783.1</v>
      </c>
    </row>
    <row r="14" spans="1:9" ht="15.75">
      <c r="A14" s="65" t="s">
        <v>116</v>
      </c>
      <c r="B14" s="290">
        <v>18</v>
      </c>
      <c r="C14" s="295">
        <v>36.5</v>
      </c>
      <c r="D14" s="295">
        <f t="shared" si="0"/>
        <v>657</v>
      </c>
      <c r="E14" s="295">
        <v>75.34</v>
      </c>
      <c r="F14" s="461">
        <v>12</v>
      </c>
      <c r="G14" s="462">
        <v>614.8</v>
      </c>
      <c r="H14" s="462">
        <v>639.2</v>
      </c>
      <c r="I14" s="462">
        <v>664.7</v>
      </c>
    </row>
    <row r="15" spans="1:9" ht="15.75">
      <c r="A15" s="65" t="s">
        <v>112</v>
      </c>
      <c r="B15" s="290">
        <v>11</v>
      </c>
      <c r="C15" s="295">
        <v>47.9</v>
      </c>
      <c r="D15" s="295">
        <f t="shared" si="0"/>
        <v>526.9</v>
      </c>
      <c r="E15" s="295">
        <v>119.55</v>
      </c>
      <c r="F15" s="461">
        <v>12</v>
      </c>
      <c r="G15" s="462">
        <v>782.2</v>
      </c>
      <c r="H15" s="462">
        <v>813.4</v>
      </c>
      <c r="I15" s="462">
        <v>845.9</v>
      </c>
    </row>
    <row r="16" spans="1:9" ht="15.75">
      <c r="A16" s="65" t="s">
        <v>117</v>
      </c>
      <c r="B16" s="290">
        <v>14</v>
      </c>
      <c r="C16" s="295">
        <v>49.2</v>
      </c>
      <c r="D16" s="295">
        <f t="shared" si="0"/>
        <v>688.8000000000001</v>
      </c>
      <c r="E16" s="295">
        <v>124.9</v>
      </c>
      <c r="F16" s="461">
        <v>12</v>
      </c>
      <c r="G16" s="462">
        <v>1068.3</v>
      </c>
      <c r="H16" s="462">
        <v>1110.9</v>
      </c>
      <c r="I16" s="462">
        <v>1155.3</v>
      </c>
    </row>
    <row r="17" spans="1:9" ht="15.75">
      <c r="A17" s="65" t="s">
        <v>118</v>
      </c>
      <c r="B17" s="290">
        <v>23</v>
      </c>
      <c r="C17" s="295">
        <v>38.6</v>
      </c>
      <c r="D17" s="295">
        <f t="shared" si="0"/>
        <v>887.8000000000001</v>
      </c>
      <c r="E17" s="295">
        <v>63.35</v>
      </c>
      <c r="F17" s="461">
        <v>12</v>
      </c>
      <c r="G17" s="462">
        <v>698.4</v>
      </c>
      <c r="H17" s="462">
        <v>726.2</v>
      </c>
      <c r="I17" s="462">
        <v>755.3</v>
      </c>
    </row>
    <row r="18" spans="1:9" ht="15.75">
      <c r="A18" s="65" t="s">
        <v>119</v>
      </c>
      <c r="B18" s="290">
        <v>31</v>
      </c>
      <c r="C18" s="295">
        <v>45</v>
      </c>
      <c r="D18" s="295">
        <f t="shared" si="0"/>
        <v>1395</v>
      </c>
      <c r="E18" s="295">
        <v>114.79</v>
      </c>
      <c r="F18" s="461">
        <v>12</v>
      </c>
      <c r="G18" s="462">
        <v>1988.5</v>
      </c>
      <c r="H18" s="462">
        <v>2067.7</v>
      </c>
      <c r="I18" s="462">
        <v>2150.4</v>
      </c>
    </row>
    <row r="19" spans="1:9" ht="15.75">
      <c r="A19" s="65" t="s">
        <v>120</v>
      </c>
      <c r="B19" s="290">
        <v>31</v>
      </c>
      <c r="C19" s="295">
        <v>41.3</v>
      </c>
      <c r="D19" s="295">
        <f t="shared" si="0"/>
        <v>1280.3</v>
      </c>
      <c r="E19" s="295">
        <v>95.72</v>
      </c>
      <c r="F19" s="461">
        <v>12</v>
      </c>
      <c r="G19" s="462">
        <v>1521.8</v>
      </c>
      <c r="H19" s="462">
        <v>1582.5</v>
      </c>
      <c r="I19" s="462">
        <v>1645.8</v>
      </c>
    </row>
    <row r="20" spans="1:9" ht="15.75">
      <c r="A20" s="443" t="s">
        <v>16</v>
      </c>
      <c r="B20" s="444"/>
      <c r="C20" s="444"/>
      <c r="D20" s="444"/>
      <c r="E20" s="444"/>
      <c r="F20" s="444"/>
      <c r="G20" s="495">
        <f>SUM(G11:G19)</f>
        <v>12048.30354032</v>
      </c>
      <c r="H20" s="445">
        <f>SUM(H11:H19)</f>
        <v>12528.3</v>
      </c>
      <c r="I20" s="445">
        <f>SUM(I11:I19)</f>
        <v>13029.399999999998</v>
      </c>
    </row>
    <row r="21" ht="15.75">
      <c r="C21" s="446"/>
    </row>
    <row r="22" spans="2:10" ht="15.75">
      <c r="B22" s="463"/>
      <c r="C22" s="464"/>
      <c r="D22" s="464"/>
      <c r="E22" s="464"/>
      <c r="F22" s="464"/>
      <c r="G22" s="464"/>
      <c r="H22" s="465"/>
      <c r="I22" s="464"/>
      <c r="J22" s="464"/>
    </row>
    <row r="23" spans="2:10" ht="15.75">
      <c r="B23" s="463"/>
      <c r="C23" s="464"/>
      <c r="D23" s="464"/>
      <c r="E23" s="464"/>
      <c r="F23" s="464"/>
      <c r="G23" s="464"/>
      <c r="H23" s="465"/>
      <c r="I23" s="464"/>
      <c r="J23" s="464"/>
    </row>
    <row r="24" spans="2:10" ht="15.75">
      <c r="B24" s="463"/>
      <c r="C24" s="464"/>
      <c r="D24" s="464"/>
      <c r="E24" s="464"/>
      <c r="F24" s="464"/>
      <c r="G24" s="464"/>
      <c r="H24" s="465"/>
      <c r="I24" s="464"/>
      <c r="J24" s="464"/>
    </row>
    <row r="25" spans="2:10" ht="15.75">
      <c r="B25" s="463"/>
      <c r="C25" s="464"/>
      <c r="D25" s="464"/>
      <c r="E25" s="464"/>
      <c r="F25" s="464"/>
      <c r="G25" s="464"/>
      <c r="H25" s="465"/>
      <c r="I25" s="464"/>
      <c r="J25" s="464"/>
    </row>
    <row r="26" spans="2:10" ht="15.75">
      <c r="B26" s="463"/>
      <c r="C26" s="464"/>
      <c r="D26" s="464"/>
      <c r="E26" s="464"/>
      <c r="F26" s="464"/>
      <c r="G26" s="464"/>
      <c r="H26" s="465"/>
      <c r="I26" s="464"/>
      <c r="J26" s="464"/>
    </row>
    <row r="27" spans="2:10" ht="15.75">
      <c r="B27" s="463"/>
      <c r="C27" s="464"/>
      <c r="D27" s="464"/>
      <c r="E27" s="464"/>
      <c r="F27" s="464"/>
      <c r="G27" s="464"/>
      <c r="H27" s="465"/>
      <c r="I27" s="464"/>
      <c r="J27" s="464"/>
    </row>
    <row r="28" spans="2:10" ht="15.75">
      <c r="B28" s="463"/>
      <c r="C28" s="464"/>
      <c r="D28" s="464"/>
      <c r="E28" s="464"/>
      <c r="F28" s="464"/>
      <c r="G28" s="464"/>
      <c r="H28" s="465"/>
      <c r="I28" s="464"/>
      <c r="J28" s="464"/>
    </row>
    <row r="29" spans="2:10" ht="15.75">
      <c r="B29" s="463"/>
      <c r="C29" s="464"/>
      <c r="D29" s="464"/>
      <c r="E29" s="464"/>
      <c r="F29" s="464"/>
      <c r="G29" s="464"/>
      <c r="H29" s="465"/>
      <c r="I29" s="464"/>
      <c r="J29" s="464"/>
    </row>
    <row r="30" spans="2:10" ht="15.75">
      <c r="B30" s="463"/>
      <c r="C30" s="464"/>
      <c r="D30" s="464"/>
      <c r="E30" s="464"/>
      <c r="F30" s="464"/>
      <c r="G30" s="464"/>
      <c r="H30" s="465"/>
      <c r="I30" s="464"/>
      <c r="J30" s="464"/>
    </row>
  </sheetData>
  <sheetProtection/>
  <mergeCells count="11">
    <mergeCell ref="G8:I8"/>
    <mergeCell ref="A1:I1"/>
    <mergeCell ref="A2:I5"/>
    <mergeCell ref="A6:I6"/>
    <mergeCell ref="H7:I7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44.00390625" style="0" customWidth="1"/>
    <col min="2" max="2" width="15.00390625" style="0" customWidth="1"/>
    <col min="3" max="3" width="13.75390625" style="0" customWidth="1"/>
    <col min="4" max="4" width="13.375" style="0" customWidth="1"/>
    <col min="5" max="5" width="13.00390625" style="0" customWidth="1"/>
  </cols>
  <sheetData>
    <row r="1" spans="1:5" ht="12.75">
      <c r="A1" s="665" t="s">
        <v>107</v>
      </c>
      <c r="B1" s="665"/>
      <c r="C1" s="665"/>
      <c r="D1" s="665"/>
      <c r="E1" s="665"/>
    </row>
    <row r="2" spans="1:5" ht="48.75" customHeight="1">
      <c r="A2" s="666" t="s">
        <v>548</v>
      </c>
      <c r="B2" s="666"/>
      <c r="C2" s="666"/>
      <c r="D2" s="666"/>
      <c r="E2" s="666"/>
    </row>
    <row r="3" spans="1:5" ht="15">
      <c r="A3" s="448"/>
      <c r="B3" s="448"/>
      <c r="C3" s="448"/>
      <c r="D3" s="448"/>
      <c r="E3" s="448"/>
    </row>
    <row r="4" spans="1:5" ht="15">
      <c r="A4" s="448"/>
      <c r="B4" s="448"/>
      <c r="C4" s="448"/>
      <c r="D4" s="448"/>
      <c r="E4" s="448"/>
    </row>
    <row r="5" spans="1:5" ht="15">
      <c r="A5" s="449"/>
      <c r="B5" s="450"/>
      <c r="E5" s="451" t="s">
        <v>542</v>
      </c>
    </row>
    <row r="6" spans="1:5" ht="45">
      <c r="A6" s="452" t="s">
        <v>543</v>
      </c>
      <c r="B6" s="452" t="s">
        <v>544</v>
      </c>
      <c r="C6" s="453" t="s">
        <v>545</v>
      </c>
      <c r="D6" s="453" t="s">
        <v>546</v>
      </c>
      <c r="E6" s="453" t="s">
        <v>547</v>
      </c>
    </row>
    <row r="7" spans="1:5" ht="15">
      <c r="A7" s="443" t="s">
        <v>16</v>
      </c>
      <c r="B7" s="454">
        <f>SUM(B8:B16)</f>
        <v>46816</v>
      </c>
      <c r="C7" s="454">
        <v>1764</v>
      </c>
      <c r="D7" s="454">
        <v>1764</v>
      </c>
      <c r="E7" s="454">
        <v>1764</v>
      </c>
    </row>
    <row r="8" spans="1:5" ht="15">
      <c r="A8" s="455" t="s">
        <v>10</v>
      </c>
      <c r="B8" s="454">
        <v>20250</v>
      </c>
      <c r="C8" s="454">
        <v>763.1</v>
      </c>
      <c r="D8" s="454">
        <v>763.1</v>
      </c>
      <c r="E8" s="454">
        <v>763.1</v>
      </c>
    </row>
    <row r="9" spans="1:5" ht="15">
      <c r="A9" s="455" t="s">
        <v>113</v>
      </c>
      <c r="B9" s="454">
        <v>6433</v>
      </c>
      <c r="C9" s="454">
        <v>242.4</v>
      </c>
      <c r="D9" s="454">
        <v>242.4</v>
      </c>
      <c r="E9" s="454">
        <v>242.4</v>
      </c>
    </row>
    <row r="10" spans="1:5" ht="15">
      <c r="A10" s="456" t="s">
        <v>109</v>
      </c>
      <c r="B10" s="454">
        <v>4207</v>
      </c>
      <c r="C10" s="454">
        <v>158.5</v>
      </c>
      <c r="D10" s="454">
        <v>158.5</v>
      </c>
      <c r="E10" s="454">
        <v>158.5</v>
      </c>
    </row>
    <row r="11" spans="1:5" ht="15">
      <c r="A11" s="455" t="s">
        <v>116</v>
      </c>
      <c r="B11" s="454">
        <v>1774</v>
      </c>
      <c r="C11" s="454">
        <v>66.8</v>
      </c>
      <c r="D11" s="454">
        <v>66.8</v>
      </c>
      <c r="E11" s="454">
        <v>66.8</v>
      </c>
    </row>
    <row r="12" spans="1:5" ht="15">
      <c r="A12" s="455" t="s">
        <v>112</v>
      </c>
      <c r="B12" s="454">
        <v>1903</v>
      </c>
      <c r="C12" s="454">
        <v>71.7</v>
      </c>
      <c r="D12" s="454">
        <v>71.7</v>
      </c>
      <c r="E12" s="454">
        <v>71.7</v>
      </c>
    </row>
    <row r="13" spans="1:5" ht="15">
      <c r="A13" s="455" t="s">
        <v>117</v>
      </c>
      <c r="B13" s="454">
        <v>2682</v>
      </c>
      <c r="C13" s="454">
        <v>101.1</v>
      </c>
      <c r="D13" s="454">
        <v>101.1</v>
      </c>
      <c r="E13" s="454">
        <v>101.1</v>
      </c>
    </row>
    <row r="14" spans="1:5" ht="15">
      <c r="A14" s="456" t="s">
        <v>118</v>
      </c>
      <c r="B14" s="454">
        <v>2496</v>
      </c>
      <c r="C14" s="454">
        <v>94</v>
      </c>
      <c r="D14" s="454">
        <v>94</v>
      </c>
      <c r="E14" s="454">
        <v>94</v>
      </c>
    </row>
    <row r="15" spans="1:5" ht="15">
      <c r="A15" s="455" t="s">
        <v>119</v>
      </c>
      <c r="B15" s="454">
        <v>4371</v>
      </c>
      <c r="C15" s="454">
        <v>164.7</v>
      </c>
      <c r="D15" s="454">
        <v>164.7</v>
      </c>
      <c r="E15" s="454">
        <v>164.7</v>
      </c>
    </row>
    <row r="16" spans="1:5" ht="15">
      <c r="A16" s="455" t="s">
        <v>120</v>
      </c>
      <c r="B16" s="454">
        <v>2700</v>
      </c>
      <c r="C16" s="454">
        <v>101.7</v>
      </c>
      <c r="D16" s="454">
        <v>101.7</v>
      </c>
      <c r="E16" s="454">
        <v>101.7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3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19.00390625" style="0" customWidth="1"/>
    <col min="2" max="2" width="14.00390625" style="0" customWidth="1"/>
    <col min="3" max="3" width="14.625" style="0" customWidth="1"/>
    <col min="4" max="5" width="13.75390625" style="0" customWidth="1"/>
    <col min="6" max="8" width="14.00390625" style="0" customWidth="1"/>
    <col min="9" max="9" width="14.25390625" style="0" customWidth="1"/>
    <col min="10" max="11" width="12.75390625" style="0" customWidth="1"/>
    <col min="12" max="12" width="14.125" style="0" customWidth="1"/>
    <col min="13" max="13" width="15.00390625" style="0" customWidth="1"/>
    <col min="14" max="14" width="14.125" style="0" customWidth="1"/>
    <col min="15" max="16" width="12.125" style="0" customWidth="1"/>
    <col min="17" max="17" width="11.375" style="0" customWidth="1"/>
    <col min="18" max="18" width="13.75390625" style="0" customWidth="1"/>
    <col min="19" max="19" width="13.25390625" style="0" customWidth="1"/>
    <col min="20" max="20" width="18.375" style="0" customWidth="1"/>
    <col min="21" max="21" width="15.375" style="0" customWidth="1"/>
  </cols>
  <sheetData>
    <row r="1" spans="1:21" ht="14.25" customHeight="1">
      <c r="A1" s="679" t="s">
        <v>31</v>
      </c>
      <c r="B1" s="677" t="s">
        <v>556</v>
      </c>
      <c r="C1" s="677" t="s">
        <v>557</v>
      </c>
      <c r="D1" s="674" t="s">
        <v>558</v>
      </c>
      <c r="E1" s="667" t="s">
        <v>559</v>
      </c>
      <c r="F1" s="677" t="s">
        <v>560</v>
      </c>
      <c r="G1" s="674" t="s">
        <v>561</v>
      </c>
      <c r="H1" s="667" t="s">
        <v>562</v>
      </c>
      <c r="I1" s="677" t="s">
        <v>563</v>
      </c>
      <c r="J1" s="674" t="s">
        <v>561</v>
      </c>
      <c r="K1" s="667" t="s">
        <v>564</v>
      </c>
      <c r="L1" s="677" t="s">
        <v>565</v>
      </c>
      <c r="M1" s="674" t="s">
        <v>566</v>
      </c>
      <c r="N1" s="667" t="s">
        <v>567</v>
      </c>
      <c r="O1" s="667" t="s">
        <v>568</v>
      </c>
      <c r="P1" s="676" t="s">
        <v>569</v>
      </c>
      <c r="Q1" s="677" t="s">
        <v>570</v>
      </c>
      <c r="R1" s="674" t="s">
        <v>571</v>
      </c>
      <c r="S1" s="667" t="s">
        <v>572</v>
      </c>
      <c r="T1" s="669" t="s">
        <v>573</v>
      </c>
      <c r="U1" s="670" t="s">
        <v>574</v>
      </c>
    </row>
    <row r="2" spans="1:21" ht="156" customHeight="1">
      <c r="A2" s="679"/>
      <c r="B2" s="678"/>
      <c r="C2" s="678"/>
      <c r="D2" s="675"/>
      <c r="E2" s="668"/>
      <c r="F2" s="678"/>
      <c r="G2" s="675"/>
      <c r="H2" s="668"/>
      <c r="I2" s="678"/>
      <c r="J2" s="675"/>
      <c r="K2" s="668"/>
      <c r="L2" s="678"/>
      <c r="M2" s="675"/>
      <c r="N2" s="668"/>
      <c r="O2" s="668"/>
      <c r="P2" s="676"/>
      <c r="Q2" s="678"/>
      <c r="R2" s="675"/>
      <c r="S2" s="668"/>
      <c r="T2" s="669"/>
      <c r="U2" s="671"/>
    </row>
    <row r="3" spans="1:21" s="474" customFormat="1" ht="15">
      <c r="A3" s="468" t="s">
        <v>575</v>
      </c>
      <c r="B3" s="468">
        <v>4</v>
      </c>
      <c r="C3" s="468">
        <v>4</v>
      </c>
      <c r="D3" s="469">
        <v>50</v>
      </c>
      <c r="E3" s="470">
        <f>C3*D3</f>
        <v>200</v>
      </c>
      <c r="F3" s="468">
        <v>12</v>
      </c>
      <c r="G3" s="469">
        <v>4</v>
      </c>
      <c r="H3" s="470">
        <f>F3*G3</f>
        <v>48</v>
      </c>
      <c r="I3" s="468">
        <v>8</v>
      </c>
      <c r="J3" s="471">
        <v>1.5</v>
      </c>
      <c r="K3" s="470">
        <f>I3*J3</f>
        <v>12</v>
      </c>
      <c r="L3" s="468">
        <v>8</v>
      </c>
      <c r="M3" s="469">
        <v>2</v>
      </c>
      <c r="N3" s="470">
        <f>L3*M3*2</f>
        <v>32</v>
      </c>
      <c r="O3" s="470">
        <v>73</v>
      </c>
      <c r="P3" s="472">
        <f>E3+H3+K3+N3+O3</f>
        <v>365</v>
      </c>
      <c r="Q3" s="468">
        <v>0</v>
      </c>
      <c r="R3" s="469">
        <v>0</v>
      </c>
      <c r="S3" s="470">
        <f>Q3*R3</f>
        <v>0</v>
      </c>
      <c r="T3" s="473" t="s">
        <v>576</v>
      </c>
      <c r="U3" s="472"/>
    </row>
    <row r="4" spans="1:21" ht="12.75">
      <c r="A4" s="468" t="s">
        <v>577</v>
      </c>
      <c r="B4" s="468">
        <v>4</v>
      </c>
      <c r="C4" s="468">
        <v>4</v>
      </c>
      <c r="D4" s="469">
        <v>60</v>
      </c>
      <c r="E4" s="470">
        <f aca="true" t="shared" si="0" ref="E4:E16">C4*D4</f>
        <v>240</v>
      </c>
      <c r="F4" s="468">
        <v>8</v>
      </c>
      <c r="G4" s="469">
        <v>4</v>
      </c>
      <c r="H4" s="470">
        <f aca="true" t="shared" si="1" ref="H4:H15">F4*G4</f>
        <v>32</v>
      </c>
      <c r="I4" s="468">
        <v>12</v>
      </c>
      <c r="J4" s="471">
        <v>1.5</v>
      </c>
      <c r="K4" s="470">
        <f aca="true" t="shared" si="2" ref="K4:K15">I4*J4</f>
        <v>18</v>
      </c>
      <c r="L4" s="468">
        <v>20</v>
      </c>
      <c r="M4" s="471">
        <v>3.5</v>
      </c>
      <c r="N4" s="470">
        <f>L4*M4*2</f>
        <v>140</v>
      </c>
      <c r="O4" s="470">
        <v>107.5</v>
      </c>
      <c r="P4" s="472">
        <f>E4+H4+K4+N4+O4</f>
        <v>537.5</v>
      </c>
      <c r="Q4" s="468">
        <v>0</v>
      </c>
      <c r="R4" s="469">
        <v>0</v>
      </c>
      <c r="S4" s="470">
        <f>Q4*R4</f>
        <v>0</v>
      </c>
      <c r="T4" s="473" t="s">
        <v>576</v>
      </c>
      <c r="U4" s="472"/>
    </row>
    <row r="5" spans="1:21" ht="12.75">
      <c r="A5" s="468" t="s">
        <v>578</v>
      </c>
      <c r="B5" s="468">
        <v>4</v>
      </c>
      <c r="C5" s="468">
        <v>4</v>
      </c>
      <c r="D5" s="469">
        <v>50</v>
      </c>
      <c r="E5" s="470">
        <f t="shared" si="0"/>
        <v>200</v>
      </c>
      <c r="F5" s="468">
        <v>12</v>
      </c>
      <c r="G5" s="469">
        <v>4</v>
      </c>
      <c r="H5" s="470">
        <f t="shared" si="1"/>
        <v>48</v>
      </c>
      <c r="I5" s="468">
        <v>8</v>
      </c>
      <c r="J5" s="471">
        <v>1.5</v>
      </c>
      <c r="K5" s="470">
        <f t="shared" si="2"/>
        <v>12</v>
      </c>
      <c r="L5" s="468">
        <v>16</v>
      </c>
      <c r="M5" s="469">
        <v>4</v>
      </c>
      <c r="N5" s="470">
        <f>L5*M5</f>
        <v>64</v>
      </c>
      <c r="O5" s="470">
        <v>81</v>
      </c>
      <c r="P5" s="472">
        <f>E5+H5+K5+N5+O5</f>
        <v>405</v>
      </c>
      <c r="Q5" s="468">
        <v>0</v>
      </c>
      <c r="R5" s="469">
        <v>0</v>
      </c>
      <c r="S5" s="470">
        <f>Q5*R5</f>
        <v>0</v>
      </c>
      <c r="T5" s="473" t="s">
        <v>576</v>
      </c>
      <c r="U5" s="472"/>
    </row>
    <row r="6" spans="1:21" ht="12.75">
      <c r="A6" s="468" t="s">
        <v>579</v>
      </c>
      <c r="B6" s="468">
        <v>4</v>
      </c>
      <c r="C6" s="468">
        <v>4</v>
      </c>
      <c r="D6" s="469">
        <v>70</v>
      </c>
      <c r="E6" s="470">
        <f t="shared" si="0"/>
        <v>280</v>
      </c>
      <c r="F6" s="468">
        <v>12</v>
      </c>
      <c r="G6" s="469">
        <v>4</v>
      </c>
      <c r="H6" s="470">
        <f t="shared" si="1"/>
        <v>48</v>
      </c>
      <c r="I6" s="3">
        <v>8</v>
      </c>
      <c r="J6" s="471">
        <v>1.5</v>
      </c>
      <c r="K6" s="470">
        <f t="shared" si="2"/>
        <v>12</v>
      </c>
      <c r="L6" s="468">
        <v>0</v>
      </c>
      <c r="M6" s="471">
        <v>1.3</v>
      </c>
      <c r="N6" s="470">
        <f>L6*M6</f>
        <v>0</v>
      </c>
      <c r="O6" s="470">
        <v>170</v>
      </c>
      <c r="P6" s="472">
        <f>E6+H6+K6+N6+O6</f>
        <v>510</v>
      </c>
      <c r="Q6" s="468">
        <v>0</v>
      </c>
      <c r="R6" s="469">
        <v>0</v>
      </c>
      <c r="S6" s="470">
        <f>Q6*R6</f>
        <v>0</v>
      </c>
      <c r="T6" s="473" t="s">
        <v>576</v>
      </c>
      <c r="U6" s="472"/>
    </row>
    <row r="7" spans="1:21" s="474" customFormat="1" ht="15">
      <c r="A7" s="3" t="s">
        <v>580</v>
      </c>
      <c r="B7" s="468">
        <v>4</v>
      </c>
      <c r="C7" s="3">
        <v>4</v>
      </c>
      <c r="D7" s="469" t="s">
        <v>576</v>
      </c>
      <c r="E7" s="470">
        <f>E8+E9+E10</f>
        <v>290</v>
      </c>
      <c r="F7" s="468">
        <v>18</v>
      </c>
      <c r="G7" s="469">
        <v>4</v>
      </c>
      <c r="H7" s="470">
        <f t="shared" si="1"/>
        <v>72</v>
      </c>
      <c r="I7" s="468">
        <v>14</v>
      </c>
      <c r="J7" s="471">
        <v>1.5</v>
      </c>
      <c r="K7" s="470">
        <f t="shared" si="2"/>
        <v>21</v>
      </c>
      <c r="L7" s="468" t="s">
        <v>576</v>
      </c>
      <c r="M7" s="471" t="s">
        <v>576</v>
      </c>
      <c r="N7" s="470">
        <f>N10</f>
        <v>144</v>
      </c>
      <c r="O7" s="470">
        <v>222</v>
      </c>
      <c r="P7" s="472">
        <f>E7+H7+K7+N7+O7</f>
        <v>749</v>
      </c>
      <c r="Q7" s="468">
        <v>0</v>
      </c>
      <c r="R7" s="469">
        <v>0</v>
      </c>
      <c r="S7" s="470">
        <f>Q7*R7</f>
        <v>0</v>
      </c>
      <c r="T7" s="473" t="s">
        <v>576</v>
      </c>
      <c r="U7" s="472"/>
    </row>
    <row r="8" spans="1:21" s="474" customFormat="1" ht="15">
      <c r="A8" s="475" t="s">
        <v>581</v>
      </c>
      <c r="B8" s="468"/>
      <c r="C8" s="475"/>
      <c r="D8" s="476">
        <v>60</v>
      </c>
      <c r="E8" s="477">
        <f t="shared" si="0"/>
        <v>0</v>
      </c>
      <c r="F8" s="468" t="s">
        <v>576</v>
      </c>
      <c r="G8" s="471" t="s">
        <v>576</v>
      </c>
      <c r="H8" s="478" t="s">
        <v>576</v>
      </c>
      <c r="I8" s="468" t="s">
        <v>576</v>
      </c>
      <c r="J8" s="471" t="s">
        <v>576</v>
      </c>
      <c r="K8" s="478" t="s">
        <v>576</v>
      </c>
      <c r="L8" s="468" t="s">
        <v>576</v>
      </c>
      <c r="M8" s="471" t="s">
        <v>576</v>
      </c>
      <c r="N8" s="470" t="s">
        <v>576</v>
      </c>
      <c r="O8" s="470"/>
      <c r="P8" s="473" t="s">
        <v>576</v>
      </c>
      <c r="Q8" s="468" t="s">
        <v>576</v>
      </c>
      <c r="R8" s="471" t="s">
        <v>576</v>
      </c>
      <c r="S8" s="478" t="s">
        <v>576</v>
      </c>
      <c r="T8" s="473" t="s">
        <v>576</v>
      </c>
      <c r="U8" s="473"/>
    </row>
    <row r="9" spans="1:21" s="474" customFormat="1" ht="15">
      <c r="A9" s="475" t="s">
        <v>582</v>
      </c>
      <c r="B9" s="468">
        <v>1</v>
      </c>
      <c r="C9" s="475">
        <v>1</v>
      </c>
      <c r="D9" s="476">
        <v>110</v>
      </c>
      <c r="E9" s="477">
        <f t="shared" si="0"/>
        <v>110</v>
      </c>
      <c r="F9" s="468" t="s">
        <v>576</v>
      </c>
      <c r="G9" s="471" t="s">
        <v>576</v>
      </c>
      <c r="H9" s="478" t="s">
        <v>576</v>
      </c>
      <c r="I9" s="468" t="s">
        <v>576</v>
      </c>
      <c r="J9" s="471" t="s">
        <v>576</v>
      </c>
      <c r="K9" s="478" t="s">
        <v>576</v>
      </c>
      <c r="L9" s="468" t="s">
        <v>576</v>
      </c>
      <c r="M9" s="471" t="s">
        <v>576</v>
      </c>
      <c r="N9" s="470" t="s">
        <v>576</v>
      </c>
      <c r="O9" s="470"/>
      <c r="P9" s="473" t="s">
        <v>576</v>
      </c>
      <c r="Q9" s="468" t="s">
        <v>576</v>
      </c>
      <c r="R9" s="471" t="s">
        <v>576</v>
      </c>
      <c r="S9" s="478" t="s">
        <v>576</v>
      </c>
      <c r="T9" s="473" t="s">
        <v>576</v>
      </c>
      <c r="U9" s="473"/>
    </row>
    <row r="10" spans="1:21" s="474" customFormat="1" ht="15">
      <c r="A10" s="475" t="s">
        <v>583</v>
      </c>
      <c r="B10" s="468">
        <v>3</v>
      </c>
      <c r="C10" s="475">
        <v>3</v>
      </c>
      <c r="D10" s="476">
        <v>60</v>
      </c>
      <c r="E10" s="477">
        <f t="shared" si="0"/>
        <v>180</v>
      </c>
      <c r="F10" s="468" t="s">
        <v>576</v>
      </c>
      <c r="G10" s="471" t="s">
        <v>576</v>
      </c>
      <c r="H10" s="478" t="s">
        <v>576</v>
      </c>
      <c r="I10" s="468" t="s">
        <v>576</v>
      </c>
      <c r="J10" s="471" t="s">
        <v>576</v>
      </c>
      <c r="K10" s="478" t="s">
        <v>576</v>
      </c>
      <c r="L10" s="479">
        <v>16</v>
      </c>
      <c r="M10" s="480">
        <v>4.5</v>
      </c>
      <c r="N10" s="477">
        <f>L10*M10*2</f>
        <v>144</v>
      </c>
      <c r="O10" s="477"/>
      <c r="P10" s="473" t="s">
        <v>576</v>
      </c>
      <c r="Q10" s="468" t="s">
        <v>576</v>
      </c>
      <c r="R10" s="471" t="s">
        <v>576</v>
      </c>
      <c r="S10" s="478" t="s">
        <v>576</v>
      </c>
      <c r="T10" s="473" t="s">
        <v>576</v>
      </c>
      <c r="U10" s="473"/>
    </row>
    <row r="11" spans="1:21" s="474" customFormat="1" ht="15">
      <c r="A11" s="468" t="s">
        <v>584</v>
      </c>
      <c r="B11" s="468">
        <v>0</v>
      </c>
      <c r="C11" s="468">
        <v>0</v>
      </c>
      <c r="D11" s="469">
        <v>20</v>
      </c>
      <c r="E11" s="470">
        <f t="shared" si="0"/>
        <v>0</v>
      </c>
      <c r="F11" s="468">
        <v>0</v>
      </c>
      <c r="G11" s="469">
        <v>4</v>
      </c>
      <c r="H11" s="470">
        <f t="shared" si="1"/>
        <v>0</v>
      </c>
      <c r="I11" s="468">
        <v>0</v>
      </c>
      <c r="J11" s="471">
        <v>1.5</v>
      </c>
      <c r="K11" s="470">
        <f t="shared" si="2"/>
        <v>0</v>
      </c>
      <c r="L11" s="468">
        <v>0</v>
      </c>
      <c r="M11" s="469">
        <v>0</v>
      </c>
      <c r="N11" s="470">
        <f aca="true" t="shared" si="3" ref="N11:N16">L11*M11</f>
        <v>0</v>
      </c>
      <c r="O11" s="470"/>
      <c r="P11" s="472">
        <f>E11+H11+K11+N11</f>
        <v>0</v>
      </c>
      <c r="Q11" s="468">
        <v>0</v>
      </c>
      <c r="R11" s="469">
        <v>0</v>
      </c>
      <c r="S11" s="470">
        <f>Q11*R11</f>
        <v>0</v>
      </c>
      <c r="T11" s="473" t="s">
        <v>576</v>
      </c>
      <c r="U11" s="472"/>
    </row>
    <row r="12" spans="1:21" ht="12.75">
      <c r="A12" s="468" t="s">
        <v>585</v>
      </c>
      <c r="B12" s="468">
        <v>3</v>
      </c>
      <c r="C12" s="468">
        <v>3</v>
      </c>
      <c r="D12" s="469">
        <v>273</v>
      </c>
      <c r="E12" s="470">
        <f t="shared" si="0"/>
        <v>819</v>
      </c>
      <c r="F12" s="3">
        <v>9</v>
      </c>
      <c r="G12" s="469">
        <v>4</v>
      </c>
      <c r="H12" s="470">
        <f t="shared" si="1"/>
        <v>36</v>
      </c>
      <c r="I12" s="468">
        <v>6</v>
      </c>
      <c r="J12" s="471">
        <v>1.5</v>
      </c>
      <c r="K12" s="470">
        <f t="shared" si="2"/>
        <v>9</v>
      </c>
      <c r="L12" s="468">
        <v>0</v>
      </c>
      <c r="M12" s="469">
        <v>0</v>
      </c>
      <c r="N12" s="470">
        <f t="shared" si="3"/>
        <v>0</v>
      </c>
      <c r="O12" s="470">
        <v>288</v>
      </c>
      <c r="P12" s="472">
        <f>E12+H12+K12+N12+O12</f>
        <v>1152</v>
      </c>
      <c r="Q12" s="468">
        <v>0</v>
      </c>
      <c r="R12" s="469">
        <v>0</v>
      </c>
      <c r="S12" s="470">
        <f>Q12*R12</f>
        <v>0</v>
      </c>
      <c r="T12" s="473" t="s">
        <v>576</v>
      </c>
      <c r="U12" s="472"/>
    </row>
    <row r="13" spans="1:21" s="474" customFormat="1" ht="15">
      <c r="A13" s="468" t="s">
        <v>586</v>
      </c>
      <c r="B13" s="468">
        <v>3</v>
      </c>
      <c r="C13" s="468">
        <v>3</v>
      </c>
      <c r="D13" s="469">
        <v>20</v>
      </c>
      <c r="E13" s="470">
        <f t="shared" si="0"/>
        <v>60</v>
      </c>
      <c r="F13" s="468">
        <v>0</v>
      </c>
      <c r="G13" s="469">
        <v>4</v>
      </c>
      <c r="H13" s="470">
        <f t="shared" si="1"/>
        <v>0</v>
      </c>
      <c r="I13" s="468">
        <v>0</v>
      </c>
      <c r="J13" s="471">
        <v>1.5</v>
      </c>
      <c r="K13" s="470">
        <f t="shared" si="2"/>
        <v>0</v>
      </c>
      <c r="L13" s="468">
        <v>0</v>
      </c>
      <c r="M13" s="469">
        <v>0</v>
      </c>
      <c r="N13" s="470">
        <f t="shared" si="3"/>
        <v>0</v>
      </c>
      <c r="O13" s="470"/>
      <c r="P13" s="472">
        <f>E13+H13+K13+N13</f>
        <v>60</v>
      </c>
      <c r="Q13" s="468">
        <v>0</v>
      </c>
      <c r="R13" s="469">
        <v>0</v>
      </c>
      <c r="S13" s="470">
        <f>Q13*R13</f>
        <v>0</v>
      </c>
      <c r="T13" s="473" t="s">
        <v>576</v>
      </c>
      <c r="U13" s="472"/>
    </row>
    <row r="14" spans="1:21" ht="12.75">
      <c r="A14" s="672" t="s">
        <v>14</v>
      </c>
      <c r="B14" s="468">
        <v>206</v>
      </c>
      <c r="C14" s="468">
        <v>0</v>
      </c>
      <c r="D14" s="469">
        <v>0</v>
      </c>
      <c r="E14" s="470">
        <f t="shared" si="0"/>
        <v>0</v>
      </c>
      <c r="F14" s="468">
        <v>0</v>
      </c>
      <c r="G14" s="469">
        <v>4</v>
      </c>
      <c r="H14" s="470">
        <f t="shared" si="1"/>
        <v>0</v>
      </c>
      <c r="I14" s="468">
        <v>0</v>
      </c>
      <c r="J14" s="471">
        <v>1.5</v>
      </c>
      <c r="K14" s="470">
        <f t="shared" si="2"/>
        <v>0</v>
      </c>
      <c r="L14" s="468">
        <v>0</v>
      </c>
      <c r="M14" s="469">
        <v>0</v>
      </c>
      <c r="N14" s="470">
        <f t="shared" si="3"/>
        <v>0</v>
      </c>
      <c r="O14" s="470"/>
      <c r="P14" s="472" t="s">
        <v>576</v>
      </c>
      <c r="Q14" s="481">
        <v>838</v>
      </c>
      <c r="R14" s="469">
        <v>66</v>
      </c>
      <c r="S14" s="482">
        <f>(Q14*33*R14)/1000</f>
        <v>1825.164</v>
      </c>
      <c r="T14" s="483">
        <v>804.8</v>
      </c>
      <c r="U14" s="472">
        <f>S14+T14</f>
        <v>2629.964</v>
      </c>
    </row>
    <row r="15" spans="1:21" ht="17.25" customHeight="1">
      <c r="A15" s="673"/>
      <c r="B15" s="468">
        <v>122</v>
      </c>
      <c r="C15" s="468">
        <v>0</v>
      </c>
      <c r="D15" s="469">
        <v>0</v>
      </c>
      <c r="E15" s="470">
        <f t="shared" si="0"/>
        <v>0</v>
      </c>
      <c r="F15" s="468">
        <v>0</v>
      </c>
      <c r="G15" s="469">
        <v>0</v>
      </c>
      <c r="H15" s="470">
        <f t="shared" si="1"/>
        <v>0</v>
      </c>
      <c r="I15" s="468">
        <v>0</v>
      </c>
      <c r="J15" s="471">
        <v>0</v>
      </c>
      <c r="K15" s="470">
        <f t="shared" si="2"/>
        <v>0</v>
      </c>
      <c r="L15" s="468">
        <v>0</v>
      </c>
      <c r="M15" s="469">
        <v>0</v>
      </c>
      <c r="N15" s="470">
        <f t="shared" si="3"/>
        <v>0</v>
      </c>
      <c r="O15" s="470"/>
      <c r="P15" s="472" t="s">
        <v>576</v>
      </c>
      <c r="Q15" s="485">
        <v>30</v>
      </c>
      <c r="R15" s="469">
        <v>25</v>
      </c>
      <c r="S15" s="486">
        <f>(Q15*R15*122)/1000</f>
        <v>91.5</v>
      </c>
      <c r="T15" s="487" t="s">
        <v>576</v>
      </c>
      <c r="U15" s="472">
        <f>S15</f>
        <v>91.5</v>
      </c>
    </row>
    <row r="16" spans="1:21" ht="12.75">
      <c r="A16" s="484" t="s">
        <v>587</v>
      </c>
      <c r="B16" s="468">
        <f>B14+B15</f>
        <v>328</v>
      </c>
      <c r="C16" s="468">
        <v>0</v>
      </c>
      <c r="D16" s="469">
        <v>0</v>
      </c>
      <c r="E16" s="470">
        <f t="shared" si="0"/>
        <v>0</v>
      </c>
      <c r="F16" s="468">
        <f>F14+F15</f>
        <v>0</v>
      </c>
      <c r="G16" s="469" t="s">
        <v>576</v>
      </c>
      <c r="H16" s="470" t="s">
        <v>576</v>
      </c>
      <c r="I16" s="468">
        <f>I14+I15</f>
        <v>0</v>
      </c>
      <c r="J16" s="471">
        <v>0</v>
      </c>
      <c r="K16" s="470">
        <f>K14+K15</f>
        <v>0</v>
      </c>
      <c r="L16" s="468">
        <v>0</v>
      </c>
      <c r="M16" s="469">
        <v>0</v>
      </c>
      <c r="N16" s="470">
        <f t="shared" si="3"/>
        <v>0</v>
      </c>
      <c r="O16" s="470"/>
      <c r="P16" s="472" t="s">
        <v>576</v>
      </c>
      <c r="Q16" s="481"/>
      <c r="R16" s="469" t="s">
        <v>576</v>
      </c>
      <c r="S16" s="482">
        <f>S14+S15</f>
        <v>1916.664</v>
      </c>
      <c r="T16" s="483">
        <f>T14</f>
        <v>804.8</v>
      </c>
      <c r="U16" s="472" t="s">
        <v>576</v>
      </c>
    </row>
    <row r="17" spans="1:21" ht="12.75">
      <c r="A17" s="488" t="s">
        <v>12</v>
      </c>
      <c r="B17" s="488">
        <f>SUM(B3:B7)+B11+B12+B13+B16</f>
        <v>354</v>
      </c>
      <c r="C17" s="488">
        <f>SUM(C3:C16)</f>
        <v>30</v>
      </c>
      <c r="D17" s="489"/>
      <c r="E17" s="490">
        <f>E3+E4+E5+E6+E7+E11+E12+E13</f>
        <v>2089</v>
      </c>
      <c r="F17" s="488">
        <f>SUM(F3:F15)</f>
        <v>71</v>
      </c>
      <c r="G17" s="489"/>
      <c r="H17" s="489">
        <f>SUM(H3:H15)</f>
        <v>284</v>
      </c>
      <c r="I17" s="488">
        <f>SUM(I3:I15)</f>
        <v>56</v>
      </c>
      <c r="J17" s="488"/>
      <c r="K17" s="489">
        <f>SUM(K3:K16)</f>
        <v>84</v>
      </c>
      <c r="L17" s="488">
        <f>SUM(L3:L16)</f>
        <v>60</v>
      </c>
      <c r="M17" s="488"/>
      <c r="N17" s="489">
        <f>SUM(N3+N4+N5+N6+N7)</f>
        <v>380</v>
      </c>
      <c r="O17" s="489">
        <f>SUM(O3+O4+O5+O6+O7)</f>
        <v>653.5</v>
      </c>
      <c r="P17" s="490">
        <f>P3+P4+P5+P6+P7+P11+P12+P13</f>
        <v>3778.5</v>
      </c>
      <c r="Q17" s="488"/>
      <c r="R17" s="488"/>
      <c r="S17" s="490">
        <f>SUM(S3:S15)</f>
        <v>1916.664</v>
      </c>
      <c r="T17" s="490">
        <f>SUM(T3:T15)</f>
        <v>804.8</v>
      </c>
      <c r="U17" s="490">
        <f>S17+T17</f>
        <v>2721.464</v>
      </c>
    </row>
    <row r="21" spans="7:9" ht="12.75">
      <c r="G21" s="491"/>
      <c r="H21" s="491"/>
      <c r="I21" s="491"/>
    </row>
    <row r="22" spans="6:9" ht="12.75">
      <c r="F22" s="492"/>
      <c r="G22" s="493"/>
      <c r="H22" s="494"/>
      <c r="I22" s="493"/>
    </row>
    <row r="23" spans="6:9" ht="12.75">
      <c r="F23" s="492"/>
      <c r="G23" s="493"/>
      <c r="H23" s="494"/>
      <c r="I23" s="493"/>
    </row>
  </sheetData>
  <sheetProtection/>
  <mergeCells count="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S1:S2"/>
    <mergeCell ref="T1:T2"/>
    <mergeCell ref="U1:U2"/>
    <mergeCell ref="A14:A15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fitToHeight="0" fitToWidth="1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41"/>
  <sheetViews>
    <sheetView view="pageBreakPreview" zoomScale="60" zoomScalePageLayoutView="0" workbookViewId="0" topLeftCell="A1">
      <selection activeCell="V39" sqref="V39"/>
    </sheetView>
  </sheetViews>
  <sheetFormatPr defaultColWidth="20.75390625" defaultRowHeight="12.75"/>
  <cols>
    <col min="1" max="1" width="23.25390625" style="15" customWidth="1"/>
    <col min="2" max="2" width="22.125" style="15" customWidth="1"/>
    <col min="3" max="3" width="12.25390625" style="15" customWidth="1"/>
    <col min="4" max="4" width="13.375" style="15" customWidth="1"/>
    <col min="5" max="5" width="13.125" style="15" customWidth="1"/>
    <col min="6" max="6" width="9.25390625" style="15" customWidth="1"/>
    <col min="7" max="7" width="17.125" style="15" hidden="1" customWidth="1"/>
    <col min="8" max="8" width="15.375" style="15" hidden="1" customWidth="1"/>
    <col min="9" max="9" width="15.875" style="15" hidden="1" customWidth="1"/>
    <col min="10" max="10" width="19.00390625" style="15" hidden="1" customWidth="1"/>
    <col min="11" max="11" width="15.375" style="15" hidden="1" customWidth="1"/>
    <col min="12" max="12" width="1.75390625" style="15" hidden="1" customWidth="1"/>
    <col min="13" max="13" width="15.625" style="15" hidden="1" customWidth="1"/>
    <col min="14" max="14" width="17.00390625" style="15" hidden="1" customWidth="1"/>
    <col min="15" max="15" width="14.375" style="15" customWidth="1"/>
    <col min="16" max="16" width="15.875" style="15" customWidth="1"/>
    <col min="17" max="17" width="11.125" style="15" customWidth="1"/>
    <col min="18" max="18" width="10.625" style="15" customWidth="1"/>
    <col min="19" max="20" width="9.375" style="15" customWidth="1"/>
    <col min="21" max="21" width="9.625" style="15" customWidth="1"/>
    <col min="22" max="22" width="9.25390625" style="15" customWidth="1"/>
    <col min="23" max="23" width="10.00390625" style="15" customWidth="1"/>
    <col min="24" max="24" width="12.25390625" style="15" customWidth="1"/>
    <col min="25" max="25" width="12.00390625" style="15" customWidth="1"/>
    <col min="26" max="26" width="12.125" style="15" customWidth="1"/>
    <col min="27" max="251" width="18.25390625" style="15" customWidth="1"/>
    <col min="252" max="252" width="34.00390625" style="15" customWidth="1"/>
    <col min="253" max="253" width="29.625" style="15" customWidth="1"/>
    <col min="254" max="16384" width="20.75390625" style="15" customWidth="1"/>
  </cols>
  <sheetData>
    <row r="1" spans="1:26" ht="19.5" customHeight="1">
      <c r="A1" s="531" t="s">
        <v>102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80.25" customHeight="1">
      <c r="A2" s="531" t="s">
        <v>360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</row>
    <row r="3" ht="9" customHeight="1"/>
    <row r="4" spans="1:24" ht="15.7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</row>
    <row r="5" spans="1:254" ht="18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530" t="s">
        <v>30</v>
      </c>
      <c r="Z5" s="53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ht="22.5" customHeight="1">
      <c r="A6" s="533" t="s">
        <v>70</v>
      </c>
      <c r="B6" s="533" t="s">
        <v>71</v>
      </c>
      <c r="C6" s="258" t="s">
        <v>72</v>
      </c>
      <c r="D6" s="258" t="s">
        <v>73</v>
      </c>
      <c r="E6" s="258" t="s">
        <v>74</v>
      </c>
      <c r="F6" s="258" t="s">
        <v>44</v>
      </c>
      <c r="G6" s="258" t="s">
        <v>75</v>
      </c>
      <c r="H6" s="258" t="s">
        <v>75</v>
      </c>
      <c r="I6" s="258" t="s">
        <v>72</v>
      </c>
      <c r="J6" s="258" t="s">
        <v>73</v>
      </c>
      <c r="K6" s="258" t="s">
        <v>74</v>
      </c>
      <c r="L6" s="533" t="s">
        <v>70</v>
      </c>
      <c r="M6" s="258" t="s">
        <v>75</v>
      </c>
      <c r="N6" s="257" t="s">
        <v>76</v>
      </c>
      <c r="O6" s="258" t="s">
        <v>77</v>
      </c>
      <c r="P6" s="258" t="s">
        <v>75</v>
      </c>
      <c r="Q6" s="258" t="s">
        <v>75</v>
      </c>
      <c r="R6" s="258" t="s">
        <v>63</v>
      </c>
      <c r="S6" s="258" t="s">
        <v>64</v>
      </c>
      <c r="T6" s="258" t="s">
        <v>65</v>
      </c>
      <c r="U6" s="258" t="s">
        <v>66</v>
      </c>
      <c r="V6" s="258" t="s">
        <v>67</v>
      </c>
      <c r="W6" s="258" t="s">
        <v>78</v>
      </c>
      <c r="X6" s="529" t="s">
        <v>273</v>
      </c>
      <c r="Y6" s="529" t="s">
        <v>274</v>
      </c>
      <c r="Z6" s="529" t="s">
        <v>551</v>
      </c>
      <c r="AA6" s="254"/>
      <c r="AB6" s="254"/>
      <c r="AC6" s="254"/>
      <c r="AD6" s="254"/>
      <c r="AE6" s="53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27" customFormat="1" ht="16.5" customHeight="1">
      <c r="A7" s="533"/>
      <c r="B7" s="533"/>
      <c r="C7" s="533" t="s">
        <v>79</v>
      </c>
      <c r="D7" s="533" t="s">
        <v>80</v>
      </c>
      <c r="E7" s="533" t="s">
        <v>81</v>
      </c>
      <c r="F7" s="533" t="s">
        <v>82</v>
      </c>
      <c r="G7" s="533" t="s">
        <v>83</v>
      </c>
      <c r="H7" s="533" t="s">
        <v>84</v>
      </c>
      <c r="I7" s="533" t="s">
        <v>79</v>
      </c>
      <c r="J7" s="533" t="s">
        <v>80</v>
      </c>
      <c r="K7" s="533" t="s">
        <v>81</v>
      </c>
      <c r="L7" s="533"/>
      <c r="M7" s="533" t="s">
        <v>83</v>
      </c>
      <c r="N7" s="533" t="s">
        <v>85</v>
      </c>
      <c r="O7" s="533" t="s">
        <v>86</v>
      </c>
      <c r="P7" s="533" t="s">
        <v>87</v>
      </c>
      <c r="Q7" s="533" t="s">
        <v>88</v>
      </c>
      <c r="R7" s="533" t="s">
        <v>89</v>
      </c>
      <c r="S7" s="533" t="s">
        <v>90</v>
      </c>
      <c r="T7" s="533" t="s">
        <v>91</v>
      </c>
      <c r="U7" s="533" t="s">
        <v>92</v>
      </c>
      <c r="V7" s="533" t="s">
        <v>93</v>
      </c>
      <c r="W7" s="533" t="s">
        <v>94</v>
      </c>
      <c r="X7" s="529"/>
      <c r="Y7" s="529"/>
      <c r="Z7" s="529"/>
      <c r="AA7" s="535"/>
      <c r="AB7" s="535"/>
      <c r="AC7" s="535"/>
      <c r="AD7" s="535"/>
      <c r="AE7" s="5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</row>
    <row r="8" spans="1:254" s="27" customFormat="1" ht="12.75" customHeight="1">
      <c r="A8" s="533"/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29"/>
      <c r="Y8" s="529"/>
      <c r="Z8" s="529"/>
      <c r="AA8" s="535"/>
      <c r="AB8" s="535"/>
      <c r="AC8" s="535"/>
      <c r="AD8" s="535"/>
      <c r="AE8" s="5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</row>
    <row r="9" spans="1:254" s="27" customFormat="1" ht="57" customHeight="1">
      <c r="A9" s="533"/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29"/>
      <c r="Y9" s="529"/>
      <c r="Z9" s="529"/>
      <c r="AA9" s="535"/>
      <c r="AB9" s="535"/>
      <c r="AC9" s="535"/>
      <c r="AD9" s="535"/>
      <c r="AE9" s="5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pans="1:254" ht="16.5">
      <c r="A10" s="532" t="s">
        <v>32</v>
      </c>
      <c r="B10" s="260" t="s">
        <v>95</v>
      </c>
      <c r="C10" s="17">
        <f>ROUND(8399*1.05*1.05*1.05,0)</f>
        <v>9723</v>
      </c>
      <c r="D10" s="17">
        <f>C10*3.666667</f>
        <v>35651.003241</v>
      </c>
      <c r="E10" s="17">
        <f aca="true" t="shared" si="0" ref="E10:E15">(C10+D10)*1.5</f>
        <v>68061.0048615</v>
      </c>
      <c r="F10" s="18">
        <v>1</v>
      </c>
      <c r="G10" s="17">
        <f aca="true" t="shared" si="1" ref="G10:G15">(C10+D10+E10)*F10</f>
        <v>113435.0081025</v>
      </c>
      <c r="H10" s="17">
        <f aca="true" t="shared" si="2" ref="H10:H15">G10*12</f>
        <v>1361220.09723</v>
      </c>
      <c r="I10" s="17"/>
      <c r="J10" s="17"/>
      <c r="K10" s="17">
        <f aca="true" t="shared" si="3" ref="K10:K15">(I10+J10)*1.5</f>
        <v>0</v>
      </c>
      <c r="L10" s="532" t="s">
        <v>32</v>
      </c>
      <c r="M10" s="17">
        <f aca="true" t="shared" si="4" ref="M10:M15">(J10+K10+I10)*F10</f>
        <v>0</v>
      </c>
      <c r="N10" s="261">
        <f aca="true" t="shared" si="5" ref="N10:N15">M10*3</f>
        <v>0</v>
      </c>
      <c r="O10" s="17">
        <f>H10*0.28</f>
        <v>381141.6272244</v>
      </c>
      <c r="P10" s="17">
        <f aca="true" t="shared" si="6" ref="P10:P15">O10+H10</f>
        <v>1742361.7244544</v>
      </c>
      <c r="Q10" s="19"/>
      <c r="R10" s="19"/>
      <c r="S10" s="19"/>
      <c r="T10" s="20"/>
      <c r="U10" s="20"/>
      <c r="V10" s="20"/>
      <c r="W10" s="20"/>
      <c r="X10" s="260"/>
      <c r="Y10" s="260"/>
      <c r="Z10" s="26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16.5">
      <c r="A11" s="532"/>
      <c r="B11" s="260" t="s">
        <v>96</v>
      </c>
      <c r="C11" s="17">
        <v>6342</v>
      </c>
      <c r="D11" s="17">
        <f>C11*3.666667</f>
        <v>23254.002114</v>
      </c>
      <c r="E11" s="17">
        <f t="shared" si="0"/>
        <v>44394.003171</v>
      </c>
      <c r="F11" s="18">
        <v>1</v>
      </c>
      <c r="G11" s="17">
        <f t="shared" si="1"/>
        <v>73990.00528499999</v>
      </c>
      <c r="H11" s="17">
        <f t="shared" si="2"/>
        <v>887880.0634199999</v>
      </c>
      <c r="I11" s="17"/>
      <c r="J11" s="17"/>
      <c r="K11" s="17">
        <f t="shared" si="3"/>
        <v>0</v>
      </c>
      <c r="L11" s="532"/>
      <c r="M11" s="17">
        <f t="shared" si="4"/>
        <v>0</v>
      </c>
      <c r="N11" s="261">
        <f t="shared" si="5"/>
        <v>0</v>
      </c>
      <c r="O11" s="17">
        <f>H11*0.28</f>
        <v>248606.4177576</v>
      </c>
      <c r="P11" s="17">
        <f t="shared" si="6"/>
        <v>1136486.4811775999</v>
      </c>
      <c r="Q11" s="19"/>
      <c r="R11" s="19"/>
      <c r="S11" s="19"/>
      <c r="T11" s="20"/>
      <c r="U11" s="20"/>
      <c r="V11" s="20"/>
      <c r="W11" s="20"/>
      <c r="X11" s="260"/>
      <c r="Y11" s="260"/>
      <c r="Z11" s="26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16.5">
      <c r="A12" s="532"/>
      <c r="B12" s="260" t="s">
        <v>97</v>
      </c>
      <c r="C12" s="17">
        <v>5807</v>
      </c>
      <c r="D12" s="17">
        <f>C12*3.666667</f>
        <v>21292.335269</v>
      </c>
      <c r="E12" s="17">
        <f t="shared" si="0"/>
        <v>40649.0029035</v>
      </c>
      <c r="F12" s="18">
        <f>4+2</f>
        <v>6</v>
      </c>
      <c r="G12" s="17">
        <f t="shared" si="1"/>
        <v>406490.02903499996</v>
      </c>
      <c r="H12" s="17">
        <f t="shared" si="2"/>
        <v>4877880.34842</v>
      </c>
      <c r="I12" s="17"/>
      <c r="J12" s="17"/>
      <c r="K12" s="17">
        <f t="shared" si="3"/>
        <v>0</v>
      </c>
      <c r="L12" s="532"/>
      <c r="M12" s="17">
        <f t="shared" si="4"/>
        <v>0</v>
      </c>
      <c r="N12" s="261">
        <f t="shared" si="5"/>
        <v>0</v>
      </c>
      <c r="O12" s="17">
        <f>H12*0.28</f>
        <v>1365806.4975576</v>
      </c>
      <c r="P12" s="17">
        <f t="shared" si="6"/>
        <v>6243686.8459776</v>
      </c>
      <c r="Q12" s="19"/>
      <c r="R12" s="19"/>
      <c r="S12" s="19"/>
      <c r="T12" s="20"/>
      <c r="U12" s="20"/>
      <c r="V12" s="20"/>
      <c r="W12" s="20"/>
      <c r="X12" s="260"/>
      <c r="Y12" s="260"/>
      <c r="Z12" s="26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16.5">
      <c r="A13" s="532"/>
      <c r="B13" s="260" t="s">
        <v>98</v>
      </c>
      <c r="C13" s="17">
        <v>5325</v>
      </c>
      <c r="D13" s="17">
        <f>C13*3.666667</f>
        <v>19525.001775</v>
      </c>
      <c r="E13" s="17">
        <f t="shared" si="0"/>
        <v>37275.0026625</v>
      </c>
      <c r="F13" s="18">
        <v>3</v>
      </c>
      <c r="G13" s="17">
        <f t="shared" si="1"/>
        <v>186375.0133125</v>
      </c>
      <c r="H13" s="17">
        <f t="shared" si="2"/>
        <v>2236500.15975</v>
      </c>
      <c r="I13" s="17"/>
      <c r="J13" s="17"/>
      <c r="K13" s="17">
        <f t="shared" si="3"/>
        <v>0</v>
      </c>
      <c r="L13" s="532"/>
      <c r="M13" s="17">
        <f t="shared" si="4"/>
        <v>0</v>
      </c>
      <c r="N13" s="261">
        <f t="shared" si="5"/>
        <v>0</v>
      </c>
      <c r="O13" s="17">
        <f>H13*0.28</f>
        <v>626220.0447300001</v>
      </c>
      <c r="P13" s="17">
        <f t="shared" si="6"/>
        <v>2862720.2044800003</v>
      </c>
      <c r="Q13" s="19"/>
      <c r="R13" s="19"/>
      <c r="S13" s="19"/>
      <c r="T13" s="20"/>
      <c r="U13" s="20"/>
      <c r="V13" s="20"/>
      <c r="W13" s="20"/>
      <c r="X13" s="260"/>
      <c r="Y13" s="260"/>
      <c r="Z13" s="26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16.5" customHeight="1">
      <c r="A14" s="532"/>
      <c r="B14" s="260" t="s">
        <v>99</v>
      </c>
      <c r="C14" s="17">
        <f>ROUND(3761*1.05*1.05*1.05,0)</f>
        <v>4354</v>
      </c>
      <c r="D14" s="17">
        <f>C14*3.666667</f>
        <v>15964.668118</v>
      </c>
      <c r="E14" s="17">
        <f t="shared" si="0"/>
        <v>30478.002177000002</v>
      </c>
      <c r="F14" s="18">
        <v>1</v>
      </c>
      <c r="G14" s="17">
        <f t="shared" si="1"/>
        <v>50796.670295</v>
      </c>
      <c r="H14" s="17">
        <f t="shared" si="2"/>
        <v>609560.04354</v>
      </c>
      <c r="I14" s="17"/>
      <c r="J14" s="17"/>
      <c r="K14" s="17">
        <f t="shared" si="3"/>
        <v>0</v>
      </c>
      <c r="L14" s="532"/>
      <c r="M14" s="17">
        <f t="shared" si="4"/>
        <v>0</v>
      </c>
      <c r="N14" s="261">
        <f t="shared" si="5"/>
        <v>0</v>
      </c>
      <c r="O14" s="17">
        <f>H14*0.302</f>
        <v>184087.13314907998</v>
      </c>
      <c r="P14" s="17">
        <f t="shared" si="6"/>
        <v>793647.17668908</v>
      </c>
      <c r="Q14" s="19"/>
      <c r="R14" s="19"/>
      <c r="S14" s="19"/>
      <c r="T14" s="20"/>
      <c r="U14" s="20"/>
      <c r="V14" s="20"/>
      <c r="W14" s="20"/>
      <c r="X14" s="260"/>
      <c r="Y14" s="260"/>
      <c r="Z14" s="26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ht="16.5">
      <c r="A15" s="532"/>
      <c r="B15" s="260" t="s">
        <v>100</v>
      </c>
      <c r="C15" s="17">
        <v>4416</v>
      </c>
      <c r="D15" s="17">
        <f>C15*2</f>
        <v>8832</v>
      </c>
      <c r="E15" s="17">
        <f t="shared" si="0"/>
        <v>19872</v>
      </c>
      <c r="F15" s="18">
        <v>1</v>
      </c>
      <c r="G15" s="17">
        <f t="shared" si="1"/>
        <v>33120</v>
      </c>
      <c r="H15" s="17">
        <f t="shared" si="2"/>
        <v>397440</v>
      </c>
      <c r="I15" s="17"/>
      <c r="J15" s="17"/>
      <c r="K15" s="17">
        <f t="shared" si="3"/>
        <v>0</v>
      </c>
      <c r="L15" s="532"/>
      <c r="M15" s="17">
        <f t="shared" si="4"/>
        <v>0</v>
      </c>
      <c r="N15" s="261">
        <f t="shared" si="5"/>
        <v>0</v>
      </c>
      <c r="O15" s="17">
        <f>H15*0.302</f>
        <v>120026.87999999999</v>
      </c>
      <c r="P15" s="17">
        <f t="shared" si="6"/>
        <v>517466.88</v>
      </c>
      <c r="Q15" s="19"/>
      <c r="R15" s="19"/>
      <c r="S15" s="19"/>
      <c r="T15" s="20"/>
      <c r="U15" s="20"/>
      <c r="V15" s="20"/>
      <c r="W15" s="20"/>
      <c r="X15" s="260"/>
      <c r="Y15" s="260"/>
      <c r="Z15" s="26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ht="16.5">
      <c r="A16" s="260" t="s">
        <v>33</v>
      </c>
      <c r="B16" s="260"/>
      <c r="C16" s="17"/>
      <c r="D16" s="17"/>
      <c r="E16" s="17"/>
      <c r="F16" s="18">
        <f>SUM(F10:F15)</f>
        <v>13</v>
      </c>
      <c r="G16" s="17">
        <f>SUM(G10:G15)</f>
        <v>864206.7260299999</v>
      </c>
      <c r="H16" s="17">
        <f>SUM(H10:H15)</f>
        <v>10370480.712359998</v>
      </c>
      <c r="I16" s="17">
        <f aca="true" t="shared" si="7" ref="I16:N16">SUM(I10:I15)</f>
        <v>0</v>
      </c>
      <c r="J16" s="17">
        <f t="shared" si="7"/>
        <v>0</v>
      </c>
      <c r="K16" s="17">
        <f t="shared" si="7"/>
        <v>0</v>
      </c>
      <c r="L16" s="17">
        <f t="shared" si="7"/>
        <v>0</v>
      </c>
      <c r="M16" s="17">
        <f t="shared" si="7"/>
        <v>0</v>
      </c>
      <c r="N16" s="17">
        <f t="shared" si="7"/>
        <v>0</v>
      </c>
      <c r="O16" s="17">
        <f>SUM(O10:O15)</f>
        <v>2925888.60041868</v>
      </c>
      <c r="P16" s="17">
        <f>SUM(P10:P15)</f>
        <v>13296369.31277868</v>
      </c>
      <c r="Q16" s="19">
        <f>P16/1000</f>
        <v>13296.36931277868</v>
      </c>
      <c r="R16" s="19">
        <f>406.4*1.055*1.05</f>
        <v>450.1896</v>
      </c>
      <c r="S16" s="19">
        <f>52.5*1.055*1.05</f>
        <v>58.156875</v>
      </c>
      <c r="T16" s="20">
        <v>468.86</v>
      </c>
      <c r="U16" s="20">
        <f>1547.2-1506.9</f>
        <v>40.299999999999955</v>
      </c>
      <c r="V16" s="20">
        <f>205.9*1.055+58.9</f>
        <v>276.1245</v>
      </c>
      <c r="W16" s="20">
        <f>495*1.055</f>
        <v>522.225</v>
      </c>
      <c r="X16" s="19">
        <v>15112.4</v>
      </c>
      <c r="Y16" s="19">
        <v>15112.4</v>
      </c>
      <c r="Z16" s="19">
        <v>15112.4</v>
      </c>
      <c r="AA16" s="255"/>
      <c r="AB16" s="255"/>
      <c r="AC16" s="255"/>
      <c r="AD16" s="255"/>
      <c r="AE16" s="25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ht="16.5">
      <c r="A17" s="532" t="s">
        <v>110</v>
      </c>
      <c r="B17" s="260" t="s">
        <v>97</v>
      </c>
      <c r="C17" s="17">
        <f>ROUND(5015*1.05*1.05*1.05,0)</f>
        <v>5805</v>
      </c>
      <c r="D17" s="17">
        <f>C17*3.666667</f>
        <v>21285.001935</v>
      </c>
      <c r="E17" s="17">
        <f>(C17+D17)*1.5</f>
        <v>40635.0029025</v>
      </c>
      <c r="F17" s="18">
        <v>1</v>
      </c>
      <c r="G17" s="17">
        <f>(C17+D17+E17)*F17</f>
        <v>67725.00483749999</v>
      </c>
      <c r="H17" s="17">
        <f>G17*12</f>
        <v>812700.0580499999</v>
      </c>
      <c r="I17" s="17"/>
      <c r="J17" s="17">
        <f>I17*4.666667</f>
        <v>0</v>
      </c>
      <c r="K17" s="17">
        <f>(I17+J17)*1.5</f>
        <v>0</v>
      </c>
      <c r="L17" s="532" t="s">
        <v>5</v>
      </c>
      <c r="M17" s="17">
        <f>(J17+K17+I17)*F17</f>
        <v>0</v>
      </c>
      <c r="N17" s="261">
        <f>M17*3</f>
        <v>0</v>
      </c>
      <c r="O17" s="17">
        <f>H17*0.28</f>
        <v>227556.016254</v>
      </c>
      <c r="P17" s="17">
        <f>O17+H17</f>
        <v>1040256.0743039999</v>
      </c>
      <c r="Q17" s="19"/>
      <c r="R17" s="19"/>
      <c r="S17" s="19"/>
      <c r="T17" s="20"/>
      <c r="U17" s="20"/>
      <c r="V17" s="20"/>
      <c r="W17" s="20"/>
      <c r="X17" s="19"/>
      <c r="Y17" s="19"/>
      <c r="Z17" s="1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ht="16.5">
      <c r="A18" s="532"/>
      <c r="B18" s="260" t="s">
        <v>98</v>
      </c>
      <c r="C18" s="17">
        <v>5325</v>
      </c>
      <c r="D18" s="17">
        <f>C18*3.666667</f>
        <v>19525.001775</v>
      </c>
      <c r="E18" s="17">
        <f>(C18+D18)*1.5</f>
        <v>37275.0026625</v>
      </c>
      <c r="F18" s="18">
        <v>1</v>
      </c>
      <c r="G18" s="17">
        <f>(C18+D18+E18)*F18</f>
        <v>62125.0044375</v>
      </c>
      <c r="H18" s="17">
        <f>G18*12</f>
        <v>745500.05325</v>
      </c>
      <c r="I18" s="17"/>
      <c r="J18" s="17">
        <f>I18*4.666667</f>
        <v>0</v>
      </c>
      <c r="K18" s="17">
        <f>(I18+J18)*1.5</f>
        <v>0</v>
      </c>
      <c r="L18" s="532"/>
      <c r="M18" s="17">
        <f>(J18+K18+I18)*F18</f>
        <v>0</v>
      </c>
      <c r="N18" s="261">
        <f>M18*3</f>
        <v>0</v>
      </c>
      <c r="O18" s="17">
        <f>H18*0.28</f>
        <v>208740.01491000003</v>
      </c>
      <c r="P18" s="17">
        <f>O18+H18</f>
        <v>954240.06816</v>
      </c>
      <c r="Q18" s="19"/>
      <c r="R18" s="19"/>
      <c r="S18" s="19"/>
      <c r="T18" s="20"/>
      <c r="U18" s="20"/>
      <c r="V18" s="20"/>
      <c r="W18" s="20"/>
      <c r="X18" s="19"/>
      <c r="Y18" s="19"/>
      <c r="Z18" s="1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ht="16.5">
      <c r="A19" s="260" t="s">
        <v>33</v>
      </c>
      <c r="B19" s="260"/>
      <c r="C19" s="17"/>
      <c r="D19" s="17"/>
      <c r="E19" s="17"/>
      <c r="F19" s="18">
        <f>SUM(F17:F18)</f>
        <v>2</v>
      </c>
      <c r="G19" s="17">
        <f>SUM(G17:G18)</f>
        <v>129850.00927499999</v>
      </c>
      <c r="H19" s="17">
        <f aca="true" t="shared" si="8" ref="H19:N19">SUM(H17:H18)</f>
        <v>1558200.1113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 t="shared" si="8"/>
        <v>0</v>
      </c>
      <c r="M19" s="17">
        <f t="shared" si="8"/>
        <v>0</v>
      </c>
      <c r="N19" s="17">
        <f t="shared" si="8"/>
        <v>0</v>
      </c>
      <c r="O19" s="17">
        <f>SUM(O17:O18)</f>
        <v>436296.03116400004</v>
      </c>
      <c r="P19" s="17">
        <f>SUM(P17:P18)</f>
        <v>1994496.1424639998</v>
      </c>
      <c r="Q19" s="19">
        <f>P19/1000</f>
        <v>1994.4961424639998</v>
      </c>
      <c r="R19" s="19">
        <f>254.4*1.055*1.055*1.05</f>
        <v>297.311238</v>
      </c>
      <c r="S19" s="19">
        <f>27.9*1.055*1.055*1.05</f>
        <v>32.606067374999995</v>
      </c>
      <c r="T19" s="20">
        <f>56.7*1.055*1.055</f>
        <v>63.1085175</v>
      </c>
      <c r="U19" s="20">
        <v>60</v>
      </c>
      <c r="V19" s="20">
        <f>16.4*1.055*1.055+11.9</f>
        <v>30.153609999999993</v>
      </c>
      <c r="W19" s="20">
        <v>32.5</v>
      </c>
      <c r="X19" s="19">
        <v>2510.2</v>
      </c>
      <c r="Y19" s="19">
        <v>2510.2</v>
      </c>
      <c r="Z19" s="19">
        <v>2510.2</v>
      </c>
      <c r="AA19" s="256"/>
      <c r="AB19" s="256"/>
      <c r="AC19" s="256"/>
      <c r="AD19" s="256"/>
      <c r="AE19" s="25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ht="33.75" customHeight="1">
      <c r="A20" s="259" t="s">
        <v>108</v>
      </c>
      <c r="B20" s="260" t="s">
        <v>98</v>
      </c>
      <c r="C20" s="17">
        <v>5325</v>
      </c>
      <c r="D20" s="17">
        <f>C20*3.666667</f>
        <v>19525.001775</v>
      </c>
      <c r="E20" s="17">
        <f>(C20+D20)*1.5</f>
        <v>37275.0026625</v>
      </c>
      <c r="F20" s="18">
        <f>1+1</f>
        <v>2</v>
      </c>
      <c r="G20" s="17">
        <f>(C20+D20+E20)*F20</f>
        <v>124250.008875</v>
      </c>
      <c r="H20" s="17">
        <f>G20*12</f>
        <v>1491000.1065</v>
      </c>
      <c r="I20" s="17"/>
      <c r="J20" s="17">
        <f>I20*4.666667</f>
        <v>0</v>
      </c>
      <c r="K20" s="17">
        <f>(I20+J20)*1.5</f>
        <v>0</v>
      </c>
      <c r="L20" s="259" t="s">
        <v>2</v>
      </c>
      <c r="M20" s="17">
        <f>(J20+K20+I20)*F20</f>
        <v>0</v>
      </c>
      <c r="N20" s="261">
        <f>M20*3</f>
        <v>0</v>
      </c>
      <c r="O20" s="17">
        <f>H20*0.28</f>
        <v>417480.02982000005</v>
      </c>
      <c r="P20" s="17">
        <f>O20+H20</f>
        <v>1908480.13632</v>
      </c>
      <c r="Q20" s="19"/>
      <c r="R20" s="19"/>
      <c r="S20" s="19"/>
      <c r="T20" s="20"/>
      <c r="U20" s="20"/>
      <c r="V20" s="20"/>
      <c r="W20" s="20"/>
      <c r="X20" s="19"/>
      <c r="Y20" s="19"/>
      <c r="Z20" s="1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16.5">
      <c r="A21" s="260" t="s">
        <v>33</v>
      </c>
      <c r="B21" s="260"/>
      <c r="C21" s="17"/>
      <c r="D21" s="17"/>
      <c r="E21" s="17"/>
      <c r="F21" s="18">
        <f>SUM(F20:F20)</f>
        <v>2</v>
      </c>
      <c r="G21" s="17">
        <f>SUM(G20:G20)</f>
        <v>124250.008875</v>
      </c>
      <c r="H21" s="17">
        <f aca="true" t="shared" si="9" ref="H21:N21">SUM(H20:H20)</f>
        <v>1491000.1065</v>
      </c>
      <c r="I21" s="17">
        <f t="shared" si="9"/>
        <v>0</v>
      </c>
      <c r="J21" s="17">
        <f t="shared" si="9"/>
        <v>0</v>
      </c>
      <c r="K21" s="17">
        <f t="shared" si="9"/>
        <v>0</v>
      </c>
      <c r="L21" s="17">
        <f t="shared" si="9"/>
        <v>0</v>
      </c>
      <c r="M21" s="17">
        <f t="shared" si="9"/>
        <v>0</v>
      </c>
      <c r="N21" s="17">
        <f t="shared" si="9"/>
        <v>0</v>
      </c>
      <c r="O21" s="17">
        <f>SUM(O20:O20)</f>
        <v>417480.02982000005</v>
      </c>
      <c r="P21" s="17">
        <f>SUM(P20:P20)</f>
        <v>1908480.13632</v>
      </c>
      <c r="Q21" s="19">
        <f>P21/1000</f>
        <v>1908.4801363200002</v>
      </c>
      <c r="R21" s="19">
        <f>(121+57.5)*1.05</f>
        <v>187.425</v>
      </c>
      <c r="S21" s="19">
        <f>35.5*1.05</f>
        <v>37.275</v>
      </c>
      <c r="T21" s="20">
        <f>51.6*1.055</f>
        <v>54.437999999999995</v>
      </c>
      <c r="U21" s="20">
        <v>60</v>
      </c>
      <c r="V21" s="20">
        <f>177+8.7</f>
        <v>185.7</v>
      </c>
      <c r="W21" s="20">
        <v>30</v>
      </c>
      <c r="X21" s="19">
        <v>2463.3</v>
      </c>
      <c r="Y21" s="19">
        <v>2463.3</v>
      </c>
      <c r="Z21" s="19">
        <v>2463.3</v>
      </c>
      <c r="AA21" s="256"/>
      <c r="AB21" s="256"/>
      <c r="AC21" s="256"/>
      <c r="AD21" s="256"/>
      <c r="AE21" s="25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ht="16.5" customHeight="1">
      <c r="A22" s="532" t="s">
        <v>113</v>
      </c>
      <c r="B22" s="260" t="s">
        <v>97</v>
      </c>
      <c r="C22" s="17">
        <f>ROUND(5015*1.05*1.05*1.05,0)</f>
        <v>5805</v>
      </c>
      <c r="D22" s="17">
        <f>C22*3.666667</f>
        <v>21285.001935</v>
      </c>
      <c r="E22" s="17">
        <f>(C22+D22)*1.5</f>
        <v>40635.0029025</v>
      </c>
      <c r="F22" s="18">
        <v>1</v>
      </c>
      <c r="G22" s="17">
        <f>(C22+D22+E22)*F22</f>
        <v>67725.00483749999</v>
      </c>
      <c r="H22" s="17">
        <f>G22*12</f>
        <v>812700.0580499999</v>
      </c>
      <c r="I22" s="17"/>
      <c r="J22" s="17">
        <f>I22*4.666667</f>
        <v>0</v>
      </c>
      <c r="K22" s="17">
        <f>(I22+J22)*1.5</f>
        <v>0</v>
      </c>
      <c r="L22" s="532" t="s">
        <v>0</v>
      </c>
      <c r="M22" s="17">
        <f>(J22+K22+I22)*F22</f>
        <v>0</v>
      </c>
      <c r="N22" s="261">
        <f>M22*3</f>
        <v>0</v>
      </c>
      <c r="O22" s="17">
        <f>H22*0.28</f>
        <v>227556.016254</v>
      </c>
      <c r="P22" s="17">
        <f>O22+H22</f>
        <v>1040256.0743039999</v>
      </c>
      <c r="Q22" s="19"/>
      <c r="R22" s="19"/>
      <c r="S22" s="19"/>
      <c r="T22" s="20"/>
      <c r="U22" s="20"/>
      <c r="V22" s="20"/>
      <c r="W22" s="20"/>
      <c r="X22" s="19"/>
      <c r="Y22" s="19"/>
      <c r="Z22" s="1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16.5">
      <c r="A23" s="532"/>
      <c r="B23" s="260" t="s">
        <v>98</v>
      </c>
      <c r="C23" s="17">
        <v>5325</v>
      </c>
      <c r="D23" s="17">
        <f>C23*3.666667</f>
        <v>19525.001775</v>
      </c>
      <c r="E23" s="17">
        <f>(C23+D23)*1.5</f>
        <v>37275.0026625</v>
      </c>
      <c r="F23" s="18">
        <f>1+1</f>
        <v>2</v>
      </c>
      <c r="G23" s="17">
        <f>(C23+D23+E23)*F23</f>
        <v>124250.008875</v>
      </c>
      <c r="H23" s="17">
        <f>G23*12</f>
        <v>1491000.1065</v>
      </c>
      <c r="I23" s="17"/>
      <c r="J23" s="17">
        <f>I23*4.666667</f>
        <v>0</v>
      </c>
      <c r="K23" s="17">
        <f>(I23+J23)*1.5</f>
        <v>0</v>
      </c>
      <c r="L23" s="532"/>
      <c r="M23" s="17">
        <f>(J23+K23+I23)*F23</f>
        <v>0</v>
      </c>
      <c r="N23" s="261">
        <f>M23*3</f>
        <v>0</v>
      </c>
      <c r="O23" s="17">
        <f>H23*0.28</f>
        <v>417480.02982000005</v>
      </c>
      <c r="P23" s="17">
        <f>O23+H23</f>
        <v>1908480.13632</v>
      </c>
      <c r="Q23" s="19"/>
      <c r="R23" s="19"/>
      <c r="S23" s="19"/>
      <c r="T23" s="20"/>
      <c r="U23" s="20"/>
      <c r="V23" s="20"/>
      <c r="W23" s="20"/>
      <c r="X23" s="19"/>
      <c r="Y23" s="19"/>
      <c r="Z23" s="1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ht="16.5">
      <c r="A24" s="262" t="s">
        <v>33</v>
      </c>
      <c r="B24" s="260"/>
      <c r="C24" s="17"/>
      <c r="D24" s="17"/>
      <c r="E24" s="17"/>
      <c r="F24" s="18">
        <f>SUM(F22:F23)</f>
        <v>3</v>
      </c>
      <c r="G24" s="17">
        <f>SUM(G22:G23)</f>
        <v>191975.0137125</v>
      </c>
      <c r="H24" s="17">
        <f aca="true" t="shared" si="10" ref="H24:N24">SUM(H22:H23)</f>
        <v>2303700.16455</v>
      </c>
      <c r="I24" s="17">
        <f t="shared" si="10"/>
        <v>0</v>
      </c>
      <c r="J24" s="17">
        <f t="shared" si="10"/>
        <v>0</v>
      </c>
      <c r="K24" s="17">
        <f t="shared" si="10"/>
        <v>0</v>
      </c>
      <c r="L24" s="17">
        <f t="shared" si="10"/>
        <v>0</v>
      </c>
      <c r="M24" s="17">
        <f t="shared" si="10"/>
        <v>0</v>
      </c>
      <c r="N24" s="17">
        <f t="shared" si="10"/>
        <v>0</v>
      </c>
      <c r="O24" s="17">
        <f>SUM(O22:O23)</f>
        <v>645036.0460740001</v>
      </c>
      <c r="P24" s="17">
        <f>SUM(P22:P23)</f>
        <v>2948736.210624</v>
      </c>
      <c r="Q24" s="19">
        <f>P24/1000</f>
        <v>2948.7362106240003</v>
      </c>
      <c r="R24" s="19">
        <f>96.1*1.055*1.055*1.05</f>
        <v>112.30978762499998</v>
      </c>
      <c r="S24" s="19">
        <f>44.5*1.055*1.05</f>
        <v>49.294875</v>
      </c>
      <c r="T24" s="20">
        <f>54.8*1.055</f>
        <v>57.81399999999999</v>
      </c>
      <c r="U24" s="20">
        <f>27.4*1.055</f>
        <v>28.906999999999996</v>
      </c>
      <c r="V24" s="20">
        <f>119.7*1.055+14.5</f>
        <v>140.7835</v>
      </c>
      <c r="W24" s="20">
        <v>32.5</v>
      </c>
      <c r="X24" s="19">
        <v>3370.3</v>
      </c>
      <c r="Y24" s="19">
        <v>3370.3</v>
      </c>
      <c r="Z24" s="19">
        <v>3370.3</v>
      </c>
      <c r="AA24" s="256"/>
      <c r="AB24" s="256"/>
      <c r="AC24" s="256"/>
      <c r="AD24" s="256"/>
      <c r="AE24" s="25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33.75" customHeight="1">
      <c r="A25" s="259" t="s">
        <v>116</v>
      </c>
      <c r="B25" s="260" t="s">
        <v>98</v>
      </c>
      <c r="C25" s="17">
        <v>5325</v>
      </c>
      <c r="D25" s="17">
        <f>C25*3.666667</f>
        <v>19525.001775</v>
      </c>
      <c r="E25" s="17">
        <f>(C25+D25)*1.7</f>
        <v>42245.0030175</v>
      </c>
      <c r="F25" s="18">
        <f>1+1</f>
        <v>2</v>
      </c>
      <c r="G25" s="17">
        <f>(C25+D25+E25)*F25</f>
        <v>134190.009585</v>
      </c>
      <c r="H25" s="17">
        <f>G25*12</f>
        <v>1610280.11502</v>
      </c>
      <c r="I25" s="17"/>
      <c r="J25" s="17">
        <f>I25*4.666667</f>
        <v>0</v>
      </c>
      <c r="K25" s="17">
        <f>(I25+J25)*1.5</f>
        <v>0</v>
      </c>
      <c r="L25" s="259" t="s">
        <v>1</v>
      </c>
      <c r="M25" s="17">
        <f>(J25+K25+I25)*F25</f>
        <v>0</v>
      </c>
      <c r="N25" s="261">
        <f>M25*3</f>
        <v>0</v>
      </c>
      <c r="O25" s="17">
        <f>H25*0.28</f>
        <v>450878.4322056</v>
      </c>
      <c r="P25" s="17">
        <f>O25+H25</f>
        <v>2061158.5472255999</v>
      </c>
      <c r="Q25" s="19"/>
      <c r="R25" s="19"/>
      <c r="S25" s="19"/>
      <c r="T25" s="20"/>
      <c r="U25" s="20"/>
      <c r="V25" s="20"/>
      <c r="W25" s="20"/>
      <c r="X25" s="19"/>
      <c r="Y25" s="19"/>
      <c r="Z25" s="1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16.5" customHeight="1">
      <c r="A26" s="260" t="s">
        <v>33</v>
      </c>
      <c r="B26" s="260"/>
      <c r="C26" s="17"/>
      <c r="D26" s="17"/>
      <c r="E26" s="17"/>
      <c r="F26" s="18">
        <f>SUM(F25:F25)</f>
        <v>2</v>
      </c>
      <c r="G26" s="17">
        <f>SUM(G25:G25)</f>
        <v>134190.009585</v>
      </c>
      <c r="H26" s="17">
        <f aca="true" t="shared" si="11" ref="H26:N26">SUM(H25:H25)</f>
        <v>1610280.11502</v>
      </c>
      <c r="I26" s="17">
        <f t="shared" si="11"/>
        <v>0</v>
      </c>
      <c r="J26" s="17">
        <f t="shared" si="11"/>
        <v>0</v>
      </c>
      <c r="K26" s="17">
        <f t="shared" si="11"/>
        <v>0</v>
      </c>
      <c r="L26" s="17">
        <f t="shared" si="11"/>
        <v>0</v>
      </c>
      <c r="M26" s="17">
        <f t="shared" si="11"/>
        <v>0</v>
      </c>
      <c r="N26" s="17">
        <f t="shared" si="11"/>
        <v>0</v>
      </c>
      <c r="O26" s="17">
        <f>SUM(O25:O25)</f>
        <v>450878.4322056</v>
      </c>
      <c r="P26" s="17">
        <f>SUM(P25:P25)</f>
        <v>2061158.5472255999</v>
      </c>
      <c r="Q26" s="19">
        <f>P26/1000</f>
        <v>2061.1585472255997</v>
      </c>
      <c r="R26" s="19">
        <f>91.8*1.055*1.055*1.05</f>
        <v>107.28447974999997</v>
      </c>
      <c r="S26" s="19">
        <f>17.9*1.055*1.055*1.05</f>
        <v>20.919304874999995</v>
      </c>
      <c r="T26" s="20">
        <v>0</v>
      </c>
      <c r="U26" s="20">
        <v>0</v>
      </c>
      <c r="V26" s="20">
        <f>15.4*1.055*1.055+8.9</f>
        <v>26.040585</v>
      </c>
      <c r="W26" s="20">
        <v>30</v>
      </c>
      <c r="X26" s="19">
        <v>2245.4</v>
      </c>
      <c r="Y26" s="19">
        <v>2245.4</v>
      </c>
      <c r="Z26" s="19">
        <v>2245.4</v>
      </c>
      <c r="AA26" s="16"/>
      <c r="AB26" s="16"/>
      <c r="AC26" s="16"/>
      <c r="AD26" s="16"/>
      <c r="AE26" s="25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16.5" customHeight="1">
      <c r="A27" s="532" t="s">
        <v>117</v>
      </c>
      <c r="B27" s="260" t="s">
        <v>97</v>
      </c>
      <c r="C27" s="17">
        <f>ROUND(5015*1.05*1.05*1.05,0)</f>
        <v>5805</v>
      </c>
      <c r="D27" s="17">
        <f>C27*3.666667</f>
        <v>21285.001935</v>
      </c>
      <c r="E27" s="17">
        <f>(C27+D27)*1.5</f>
        <v>40635.0029025</v>
      </c>
      <c r="F27" s="18">
        <v>1</v>
      </c>
      <c r="G27" s="17">
        <f>(C27+D27+E27)*F27</f>
        <v>67725.00483749999</v>
      </c>
      <c r="H27" s="17">
        <f>G27*12</f>
        <v>812700.0580499999</v>
      </c>
      <c r="I27" s="17"/>
      <c r="J27" s="17">
        <f>I27*4.666667</f>
        <v>0</v>
      </c>
      <c r="K27" s="17">
        <f>(I27+J27)*1.5</f>
        <v>0</v>
      </c>
      <c r="L27" s="532" t="s">
        <v>11</v>
      </c>
      <c r="M27" s="17">
        <f>(J27+K27+I27)*F27</f>
        <v>0</v>
      </c>
      <c r="N27" s="261">
        <f>M27*3</f>
        <v>0</v>
      </c>
      <c r="O27" s="17">
        <f>H27*0.28</f>
        <v>227556.016254</v>
      </c>
      <c r="P27" s="17">
        <f>O27+H27</f>
        <v>1040256.0743039999</v>
      </c>
      <c r="Q27" s="19"/>
      <c r="R27" s="19"/>
      <c r="S27" s="19"/>
      <c r="T27" s="20"/>
      <c r="U27" s="20"/>
      <c r="V27" s="20"/>
      <c r="W27" s="20"/>
      <c r="X27" s="19"/>
      <c r="Y27" s="19"/>
      <c r="Z27" s="1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16.5">
      <c r="A28" s="532"/>
      <c r="B28" s="260" t="s">
        <v>98</v>
      </c>
      <c r="C28" s="17">
        <v>5325</v>
      </c>
      <c r="D28" s="17">
        <f>C28*3.666667</f>
        <v>19525.001775</v>
      </c>
      <c r="E28" s="17">
        <f>(C28+D28)*1.5</f>
        <v>37275.0026625</v>
      </c>
      <c r="F28" s="18">
        <v>1</v>
      </c>
      <c r="G28" s="17">
        <f>(C28+D28+E28)*F28</f>
        <v>62125.0044375</v>
      </c>
      <c r="H28" s="17">
        <f>G28*12</f>
        <v>745500.05325</v>
      </c>
      <c r="I28" s="17"/>
      <c r="J28" s="17">
        <f>I28*4.666667</f>
        <v>0</v>
      </c>
      <c r="K28" s="17">
        <f>(I28+J28)*1.5</f>
        <v>0</v>
      </c>
      <c r="L28" s="532"/>
      <c r="M28" s="17">
        <f>(J28+K28+I28)*F28</f>
        <v>0</v>
      </c>
      <c r="N28" s="261">
        <f>M28*3</f>
        <v>0</v>
      </c>
      <c r="O28" s="17">
        <f>H28*0.28</f>
        <v>208740.01491000003</v>
      </c>
      <c r="P28" s="17">
        <f>O28+H28</f>
        <v>954240.06816</v>
      </c>
      <c r="Q28" s="19"/>
      <c r="R28" s="19"/>
      <c r="S28" s="19"/>
      <c r="T28" s="20"/>
      <c r="U28" s="20"/>
      <c r="V28" s="20"/>
      <c r="W28" s="20"/>
      <c r="X28" s="19"/>
      <c r="Y28" s="19"/>
      <c r="Z28" s="1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ht="16.5">
      <c r="A29" s="260" t="s">
        <v>33</v>
      </c>
      <c r="B29" s="260"/>
      <c r="C29" s="17"/>
      <c r="D29" s="17"/>
      <c r="E29" s="17"/>
      <c r="F29" s="18">
        <f>SUM(F27:F28)</f>
        <v>2</v>
      </c>
      <c r="G29" s="17">
        <f>SUM(G27:G28)</f>
        <v>129850.00927499999</v>
      </c>
      <c r="H29" s="17">
        <f aca="true" t="shared" si="12" ref="H29:N29">SUM(H27:H28)</f>
        <v>1558200.1113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>SUM(O27:O28)</f>
        <v>436296.03116400004</v>
      </c>
      <c r="P29" s="17">
        <f>SUM(P27:P28)</f>
        <v>1994496.1424639998</v>
      </c>
      <c r="Q29" s="19">
        <f>P29/1000</f>
        <v>1994.4961424639998</v>
      </c>
      <c r="R29" s="19">
        <f>(105.6+28)*1.05</f>
        <v>140.28</v>
      </c>
      <c r="S29" s="19">
        <f>27.2*1.05</f>
        <v>28.56</v>
      </c>
      <c r="T29" s="20">
        <v>0</v>
      </c>
      <c r="U29" s="20">
        <v>0</v>
      </c>
      <c r="V29" s="20">
        <f>123.2+6.1</f>
        <v>129.3</v>
      </c>
      <c r="W29" s="20">
        <v>32.5</v>
      </c>
      <c r="X29" s="19">
        <v>2325.1</v>
      </c>
      <c r="Y29" s="19">
        <v>2325.1</v>
      </c>
      <c r="Z29" s="19">
        <v>2325.1</v>
      </c>
      <c r="AA29" s="255"/>
      <c r="AB29" s="256"/>
      <c r="AC29" s="256"/>
      <c r="AD29" s="256"/>
      <c r="AE29" s="25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16.5" customHeight="1">
      <c r="A30" s="532" t="s">
        <v>118</v>
      </c>
      <c r="B30" s="260" t="s">
        <v>97</v>
      </c>
      <c r="C30" s="17">
        <f>ROUND(5015*1.05*1.05*1.05,0)</f>
        <v>5805</v>
      </c>
      <c r="D30" s="17">
        <f>C30*3.666667</f>
        <v>21285.001935</v>
      </c>
      <c r="E30" s="17">
        <f>(C30+D30)*1.5</f>
        <v>40635.0029025</v>
      </c>
      <c r="F30" s="18">
        <v>1</v>
      </c>
      <c r="G30" s="17">
        <f>(C30+D30+E30)*F30</f>
        <v>67725.00483749999</v>
      </c>
      <c r="H30" s="17">
        <f>G30*12</f>
        <v>812700.0580499999</v>
      </c>
      <c r="I30" s="17"/>
      <c r="J30" s="17">
        <f>I30*4.666667</f>
        <v>0</v>
      </c>
      <c r="K30" s="17">
        <f>(I30+J30)*1.5</f>
        <v>0</v>
      </c>
      <c r="L30" s="532" t="s">
        <v>6</v>
      </c>
      <c r="M30" s="17">
        <f>(J30+K30+I30)*F30</f>
        <v>0</v>
      </c>
      <c r="N30" s="261">
        <f>M30*3</f>
        <v>0</v>
      </c>
      <c r="O30" s="17">
        <f>H30*0.28</f>
        <v>227556.016254</v>
      </c>
      <c r="P30" s="17">
        <f>O30+H30</f>
        <v>1040256.0743039999</v>
      </c>
      <c r="Q30" s="19"/>
      <c r="R30" s="19"/>
      <c r="S30" s="19"/>
      <c r="T30" s="20"/>
      <c r="U30" s="20"/>
      <c r="V30" s="20"/>
      <c r="W30" s="20"/>
      <c r="X30" s="19"/>
      <c r="Y30" s="19"/>
      <c r="Z30" s="1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16.5">
      <c r="A31" s="532"/>
      <c r="B31" s="260" t="s">
        <v>98</v>
      </c>
      <c r="C31" s="17">
        <v>5325</v>
      </c>
      <c r="D31" s="17">
        <f>C31*3.666667</f>
        <v>19525.001775</v>
      </c>
      <c r="E31" s="17">
        <f>(C31+D31)*1.5</f>
        <v>37275.0026625</v>
      </c>
      <c r="F31" s="18">
        <v>1</v>
      </c>
      <c r="G31" s="17">
        <f>(C31+D31+E31)*F31</f>
        <v>62125.0044375</v>
      </c>
      <c r="H31" s="17">
        <f>G31*12</f>
        <v>745500.05325</v>
      </c>
      <c r="I31" s="17"/>
      <c r="J31" s="17">
        <f>I31*4.666667</f>
        <v>0</v>
      </c>
      <c r="K31" s="17">
        <f>(I31+J31)*1.5</f>
        <v>0</v>
      </c>
      <c r="L31" s="532"/>
      <c r="M31" s="17">
        <f>(J31+K31+I31)*F31</f>
        <v>0</v>
      </c>
      <c r="N31" s="261">
        <f>M31*3</f>
        <v>0</v>
      </c>
      <c r="O31" s="17">
        <f>H31*0.28</f>
        <v>208740.01491000003</v>
      </c>
      <c r="P31" s="17">
        <f>O31+H31</f>
        <v>954240.06816</v>
      </c>
      <c r="Q31" s="19"/>
      <c r="R31" s="19"/>
      <c r="S31" s="19"/>
      <c r="T31" s="20"/>
      <c r="U31" s="20"/>
      <c r="V31" s="20"/>
      <c r="W31" s="20"/>
      <c r="X31" s="19"/>
      <c r="Y31" s="19"/>
      <c r="Z31" s="1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6.5">
      <c r="A32" s="260" t="s">
        <v>33</v>
      </c>
      <c r="B32" s="260"/>
      <c r="C32" s="17"/>
      <c r="D32" s="17"/>
      <c r="E32" s="17"/>
      <c r="F32" s="18">
        <f>SUM(F30:F31)</f>
        <v>2</v>
      </c>
      <c r="G32" s="17">
        <f>SUM(G30:G31)</f>
        <v>129850.00927499999</v>
      </c>
      <c r="H32" s="17">
        <f aca="true" t="shared" si="13" ref="H32:N32">SUM(H30:H31)</f>
        <v>1558200.1113</v>
      </c>
      <c r="I32" s="17">
        <f t="shared" si="13"/>
        <v>0</v>
      </c>
      <c r="J32" s="17">
        <f t="shared" si="13"/>
        <v>0</v>
      </c>
      <c r="K32" s="17">
        <f t="shared" si="13"/>
        <v>0</v>
      </c>
      <c r="L32" s="17">
        <f t="shared" si="13"/>
        <v>0</v>
      </c>
      <c r="M32" s="17">
        <f t="shared" si="13"/>
        <v>0</v>
      </c>
      <c r="N32" s="17">
        <f t="shared" si="13"/>
        <v>0</v>
      </c>
      <c r="O32" s="17">
        <f>SUM(O30:O31)</f>
        <v>436296.03116400004</v>
      </c>
      <c r="P32" s="17">
        <f>SUM(P30:P31)</f>
        <v>1994496.1424639998</v>
      </c>
      <c r="Q32" s="19">
        <f>P32/1000</f>
        <v>1994.4961424639998</v>
      </c>
      <c r="R32" s="19">
        <f>86.4*1.055*1.05</f>
        <v>95.70960000000001</v>
      </c>
      <c r="S32" s="19">
        <f>26.2*1.05</f>
        <v>27.51</v>
      </c>
      <c r="T32" s="20">
        <v>18.1</v>
      </c>
      <c r="U32" s="20">
        <v>12</v>
      </c>
      <c r="V32" s="20">
        <f>50+5.9</f>
        <v>55.9</v>
      </c>
      <c r="W32" s="20">
        <v>32.5</v>
      </c>
      <c r="X32" s="19">
        <v>2236.2</v>
      </c>
      <c r="Y32" s="19">
        <v>2236.2</v>
      </c>
      <c r="Z32" s="19">
        <v>2236.2</v>
      </c>
      <c r="AA32" s="256"/>
      <c r="AB32" s="256"/>
      <c r="AC32" s="256"/>
      <c r="AD32" s="256"/>
      <c r="AE32" s="25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16.5" customHeight="1">
      <c r="A33" s="532" t="s">
        <v>119</v>
      </c>
      <c r="B33" s="260" t="s">
        <v>97</v>
      </c>
      <c r="C33" s="17">
        <f>ROUND(5015*1.05*1.05*1.05,0)</f>
        <v>5805</v>
      </c>
      <c r="D33" s="17">
        <f>C33*3.666667</f>
        <v>21285.001935</v>
      </c>
      <c r="E33" s="17">
        <f>(C33+D33)*1.5</f>
        <v>40635.0029025</v>
      </c>
      <c r="F33" s="18">
        <v>1</v>
      </c>
      <c r="G33" s="17">
        <f>(C33+D33+E33)*F33</f>
        <v>67725.00483749999</v>
      </c>
      <c r="H33" s="17">
        <f>G33*12</f>
        <v>812700.0580499999</v>
      </c>
      <c r="I33" s="17"/>
      <c r="J33" s="17">
        <f>I33*4.666667</f>
        <v>0</v>
      </c>
      <c r="K33" s="17">
        <f>(I33+J33)*1.5</f>
        <v>0</v>
      </c>
      <c r="L33" s="532" t="s">
        <v>7</v>
      </c>
      <c r="M33" s="17">
        <f>(J33+K33+I33)*F33</f>
        <v>0</v>
      </c>
      <c r="N33" s="261">
        <f>M33*3</f>
        <v>0</v>
      </c>
      <c r="O33" s="17">
        <f>H33*0.28</f>
        <v>227556.016254</v>
      </c>
      <c r="P33" s="17">
        <f>O33+H33</f>
        <v>1040256.0743039999</v>
      </c>
      <c r="Q33" s="19"/>
      <c r="R33" s="19"/>
      <c r="S33" s="19"/>
      <c r="T33" s="20"/>
      <c r="U33" s="20"/>
      <c r="V33" s="20"/>
      <c r="W33" s="20"/>
      <c r="X33" s="19"/>
      <c r="Y33" s="19"/>
      <c r="Z33" s="1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ht="16.5">
      <c r="A34" s="532"/>
      <c r="B34" s="260" t="s">
        <v>98</v>
      </c>
      <c r="C34" s="17">
        <v>5325</v>
      </c>
      <c r="D34" s="17">
        <f>C34*3.666667</f>
        <v>19525.001775</v>
      </c>
      <c r="E34" s="17">
        <f>(C34+D34)*1.5</f>
        <v>37275.0026625</v>
      </c>
      <c r="F34" s="18">
        <v>1</v>
      </c>
      <c r="G34" s="17">
        <f>(C34+D34+E34)*F34</f>
        <v>62125.0044375</v>
      </c>
      <c r="H34" s="17">
        <f>G34*12</f>
        <v>745500.05325</v>
      </c>
      <c r="I34" s="17"/>
      <c r="J34" s="17">
        <f>I34*4.666667</f>
        <v>0</v>
      </c>
      <c r="K34" s="17">
        <f>(I34+J34)*1.5</f>
        <v>0</v>
      </c>
      <c r="L34" s="532"/>
      <c r="M34" s="17">
        <f>(J34+K34+I34)*F34</f>
        <v>0</v>
      </c>
      <c r="N34" s="261">
        <f>M34*3</f>
        <v>0</v>
      </c>
      <c r="O34" s="17">
        <f>H34*0.28</f>
        <v>208740.01491000003</v>
      </c>
      <c r="P34" s="17">
        <f>O34+H34</f>
        <v>954240.06816</v>
      </c>
      <c r="Q34" s="19"/>
      <c r="R34" s="19"/>
      <c r="S34" s="19"/>
      <c r="T34" s="20"/>
      <c r="U34" s="20"/>
      <c r="V34" s="20"/>
      <c r="W34" s="20"/>
      <c r="X34" s="19"/>
      <c r="Y34" s="19"/>
      <c r="Z34" s="1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16.5">
      <c r="A35" s="260" t="s">
        <v>33</v>
      </c>
      <c r="B35" s="260"/>
      <c r="C35" s="17"/>
      <c r="D35" s="17"/>
      <c r="E35" s="17"/>
      <c r="F35" s="18">
        <f>SUM(F33:F34)</f>
        <v>2</v>
      </c>
      <c r="G35" s="17">
        <f>SUM(G33:G34)</f>
        <v>129850.00927499999</v>
      </c>
      <c r="H35" s="17">
        <f aca="true" t="shared" si="14" ref="H35:N35">SUM(H33:H34)</f>
        <v>1558200.1113</v>
      </c>
      <c r="I35" s="17">
        <f t="shared" si="14"/>
        <v>0</v>
      </c>
      <c r="J35" s="17">
        <f t="shared" si="14"/>
        <v>0</v>
      </c>
      <c r="K35" s="17">
        <f t="shared" si="14"/>
        <v>0</v>
      </c>
      <c r="L35" s="17">
        <f t="shared" si="14"/>
        <v>0</v>
      </c>
      <c r="M35" s="17">
        <f t="shared" si="14"/>
        <v>0</v>
      </c>
      <c r="N35" s="17">
        <f t="shared" si="14"/>
        <v>0</v>
      </c>
      <c r="O35" s="17">
        <f>SUM(O33:O34)</f>
        <v>436296.03116400004</v>
      </c>
      <c r="P35" s="17">
        <f>SUM(P33:P34)</f>
        <v>1994496.1424639998</v>
      </c>
      <c r="Q35" s="19">
        <f>P35/1000</f>
        <v>1994.4961424639998</v>
      </c>
      <c r="R35" s="19">
        <f>(87+53.4+35)*1.055*1.055*1.05</f>
        <v>204.98581425</v>
      </c>
      <c r="S35" s="19">
        <f>28.8*1.055*1.055*1.05</f>
        <v>33.657875999999995</v>
      </c>
      <c r="T35" s="20">
        <f>16.9*1.055*1.055</f>
        <v>18.810122499999995</v>
      </c>
      <c r="U35" s="20">
        <f>34.1*1.055*1.055</f>
        <v>37.95415249999999</v>
      </c>
      <c r="V35" s="20">
        <f>28.5*1.055*1.055-0.1+6.2</f>
        <v>37.821212499999994</v>
      </c>
      <c r="W35" s="20">
        <v>32.5</v>
      </c>
      <c r="X35" s="19">
        <v>2360.2</v>
      </c>
      <c r="Y35" s="19">
        <v>2360.2</v>
      </c>
      <c r="Z35" s="19">
        <v>2360.2</v>
      </c>
      <c r="AA35" s="16"/>
      <c r="AB35" s="16"/>
      <c r="AC35" s="16"/>
      <c r="AD35" s="16"/>
      <c r="AE35" s="25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ht="16.5">
      <c r="A36" s="532" t="s">
        <v>120</v>
      </c>
      <c r="B36" s="260" t="s">
        <v>101</v>
      </c>
      <c r="C36" s="17">
        <f>ROUND(5332*1.05*1.05*1.05,0)</f>
        <v>6172</v>
      </c>
      <c r="D36" s="17">
        <f>C36*3.666667</f>
        <v>22630.668724</v>
      </c>
      <c r="E36" s="17">
        <f>(C36+D36)*1.5</f>
        <v>43204.003086</v>
      </c>
      <c r="F36" s="18">
        <v>1</v>
      </c>
      <c r="G36" s="17">
        <f>(C36+D36+E36)*F36</f>
        <v>72006.67181</v>
      </c>
      <c r="H36" s="17">
        <f>G36*12</f>
        <v>864080.06172</v>
      </c>
      <c r="I36" s="17"/>
      <c r="J36" s="17">
        <f>I36*4.666667</f>
        <v>0</v>
      </c>
      <c r="K36" s="17">
        <f>(I36+J36)*1.5</f>
        <v>0</v>
      </c>
      <c r="L36" s="532" t="s">
        <v>8</v>
      </c>
      <c r="M36" s="17">
        <f>(J36+K36+I36)*F36</f>
        <v>0</v>
      </c>
      <c r="N36" s="261">
        <f>M36*3</f>
        <v>0</v>
      </c>
      <c r="O36" s="17">
        <f>H36*0.28</f>
        <v>241942.41728160004</v>
      </c>
      <c r="P36" s="17">
        <f>O36+H36</f>
        <v>1106022.4790016</v>
      </c>
      <c r="Q36" s="19"/>
      <c r="R36" s="19"/>
      <c r="S36" s="19"/>
      <c r="T36" s="20"/>
      <c r="U36" s="20"/>
      <c r="V36" s="20"/>
      <c r="W36" s="20"/>
      <c r="X36" s="19"/>
      <c r="Y36" s="19"/>
      <c r="Z36" s="1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6.5">
      <c r="A37" s="532"/>
      <c r="B37" s="260" t="s">
        <v>98</v>
      </c>
      <c r="C37" s="17">
        <v>5325</v>
      </c>
      <c r="D37" s="17">
        <f>C37*3.666667</f>
        <v>19525.001775</v>
      </c>
      <c r="E37" s="17">
        <f>(C37+D37)*1.5</f>
        <v>37275.0026625</v>
      </c>
      <c r="F37" s="18">
        <f>1+1</f>
        <v>2</v>
      </c>
      <c r="G37" s="17">
        <f>(C37+D37+E37)*F37</f>
        <v>124250.008875</v>
      </c>
      <c r="H37" s="17">
        <f>G37*12</f>
        <v>1491000.1065</v>
      </c>
      <c r="I37" s="17"/>
      <c r="J37" s="17">
        <f>I37*4.666667</f>
        <v>0</v>
      </c>
      <c r="K37" s="17">
        <f>(I37+J37)*1.5</f>
        <v>0</v>
      </c>
      <c r="L37" s="532"/>
      <c r="M37" s="17">
        <f>(J37+K37+I37)*F37</f>
        <v>0</v>
      </c>
      <c r="N37" s="261">
        <f>M37*3</f>
        <v>0</v>
      </c>
      <c r="O37" s="17">
        <f>H37*0.28</f>
        <v>417480.02982000005</v>
      </c>
      <c r="P37" s="17">
        <f>O37+H37</f>
        <v>1908480.13632</v>
      </c>
      <c r="Q37" s="19"/>
      <c r="R37" s="19"/>
      <c r="S37" s="19"/>
      <c r="T37" s="20"/>
      <c r="U37" s="20"/>
      <c r="V37" s="20"/>
      <c r="W37" s="20"/>
      <c r="X37" s="19"/>
      <c r="Y37" s="19"/>
      <c r="Z37" s="1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16.5">
      <c r="A38" s="262" t="s">
        <v>33</v>
      </c>
      <c r="B38" s="260"/>
      <c r="C38" s="17"/>
      <c r="D38" s="17"/>
      <c r="E38" s="17"/>
      <c r="F38" s="18">
        <f>SUM(F36:F37)</f>
        <v>3</v>
      </c>
      <c r="G38" s="17">
        <f>SUM(G36:G37)</f>
        <v>196256.680685</v>
      </c>
      <c r="H38" s="17">
        <f aca="true" t="shared" si="15" ref="H38:N38">SUM(H36:H37)</f>
        <v>2355080.16822</v>
      </c>
      <c r="I38" s="17">
        <f t="shared" si="15"/>
        <v>0</v>
      </c>
      <c r="J38" s="17">
        <f t="shared" si="15"/>
        <v>0</v>
      </c>
      <c r="K38" s="17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>SUM(O36:O37)</f>
        <v>659422.4471016001</v>
      </c>
      <c r="P38" s="17">
        <f>SUM(P36:P37)</f>
        <v>3014502.6153216</v>
      </c>
      <c r="Q38" s="19">
        <f>P38/1000</f>
        <v>3014.5026153216</v>
      </c>
      <c r="R38" s="19">
        <f>(174.6+12.8+10.6)*1.055*1.055*1.05</f>
        <v>231.39789749999997</v>
      </c>
      <c r="S38" s="19">
        <f>48.2*1.055*1.055*1.05</f>
        <v>56.33019525</v>
      </c>
      <c r="T38" s="20">
        <v>0</v>
      </c>
      <c r="U38" s="20">
        <f>79*1.055*1.055</f>
        <v>87.928975</v>
      </c>
      <c r="V38" s="20">
        <f>26.6*1.055*1.055+6.8</f>
        <v>36.406465</v>
      </c>
      <c r="W38" s="20">
        <f>32.5/2*3</f>
        <v>48.75</v>
      </c>
      <c r="X38" s="19">
        <v>3475.3</v>
      </c>
      <c r="Y38" s="19">
        <v>3475.3</v>
      </c>
      <c r="Z38" s="19">
        <v>3475.3</v>
      </c>
      <c r="AA38" s="16"/>
      <c r="AB38" s="16"/>
      <c r="AC38" s="16"/>
      <c r="AD38" s="16"/>
      <c r="AE38" s="25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ht="26.25" customHeight="1">
      <c r="A39" s="260" t="s">
        <v>12</v>
      </c>
      <c r="B39" s="260"/>
      <c r="C39" s="260"/>
      <c r="D39" s="260"/>
      <c r="E39" s="260"/>
      <c r="F39" s="18">
        <f aca="true" t="shared" si="16" ref="F39:W39">F16+F24+F26+F29+F32+F35+F38+F19+F21</f>
        <v>31</v>
      </c>
      <c r="G39" s="18">
        <f t="shared" si="16"/>
        <v>2030278.4759875003</v>
      </c>
      <c r="H39" s="18">
        <f t="shared" si="16"/>
        <v>24363341.71184999</v>
      </c>
      <c r="I39" s="18">
        <f t="shared" si="16"/>
        <v>0</v>
      </c>
      <c r="J39" s="18">
        <f t="shared" si="16"/>
        <v>0</v>
      </c>
      <c r="K39" s="18">
        <f t="shared" si="16"/>
        <v>0</v>
      </c>
      <c r="L39" s="18">
        <f t="shared" si="16"/>
        <v>0</v>
      </c>
      <c r="M39" s="18">
        <f t="shared" si="16"/>
        <v>0</v>
      </c>
      <c r="N39" s="18">
        <f t="shared" si="16"/>
        <v>0</v>
      </c>
      <c r="O39" s="263">
        <f t="shared" si="16"/>
        <v>6843889.68027588</v>
      </c>
      <c r="P39" s="263">
        <f t="shared" si="16"/>
        <v>31207231.39212588</v>
      </c>
      <c r="Q39" s="264">
        <f t="shared" si="16"/>
        <v>31207.231392125872</v>
      </c>
      <c r="R39" s="264">
        <f t="shared" si="16"/>
        <v>1826.8934171249998</v>
      </c>
      <c r="S39" s="264">
        <f t="shared" si="16"/>
        <v>344.31019349999997</v>
      </c>
      <c r="T39" s="264">
        <f t="shared" si="16"/>
        <v>681.13064</v>
      </c>
      <c r="U39" s="264">
        <f t="shared" si="16"/>
        <v>327.09012749999994</v>
      </c>
      <c r="V39" s="264">
        <f t="shared" si="16"/>
        <v>918.2298725</v>
      </c>
      <c r="W39" s="264">
        <f t="shared" si="16"/>
        <v>793.475</v>
      </c>
      <c r="X39" s="19">
        <v>36098.4</v>
      </c>
      <c r="Y39" s="19">
        <v>36098.4</v>
      </c>
      <c r="Z39" s="19">
        <v>36098.4</v>
      </c>
      <c r="AA39" s="16"/>
      <c r="AB39" s="16"/>
      <c r="AC39" s="16"/>
      <c r="AD39" s="16"/>
      <c r="AE39" s="25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16"/>
      <c r="P41" s="16"/>
      <c r="Q41" s="16"/>
      <c r="R41" s="16"/>
      <c r="S41" s="16"/>
      <c r="T41" s="537"/>
      <c r="U41" s="538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</sheetData>
  <sheetProtection/>
  <mergeCells count="50">
    <mergeCell ref="H7:H9"/>
    <mergeCell ref="I7:I9"/>
    <mergeCell ref="AD7:AD9"/>
    <mergeCell ref="J7:J9"/>
    <mergeCell ref="T7:T9"/>
    <mergeCell ref="P7:P9"/>
    <mergeCell ref="Q7:Q9"/>
    <mergeCell ref="U7:U9"/>
    <mergeCell ref="K7:K9"/>
    <mergeCell ref="Y6:Y9"/>
    <mergeCell ref="AE6:AE9"/>
    <mergeCell ref="C7:C9"/>
    <mergeCell ref="D7:D9"/>
    <mergeCell ref="E7:E9"/>
    <mergeCell ref="F7:F9"/>
    <mergeCell ref="T41:U41"/>
    <mergeCell ref="X6:X9"/>
    <mergeCell ref="V7:V9"/>
    <mergeCell ref="G7:G9"/>
    <mergeCell ref="AC7:AC9"/>
    <mergeCell ref="AB7:AB9"/>
    <mergeCell ref="R7:R9"/>
    <mergeCell ref="M7:M9"/>
    <mergeCell ref="S7:S9"/>
    <mergeCell ref="O7:O9"/>
    <mergeCell ref="A10:A15"/>
    <mergeCell ref="W7:W9"/>
    <mergeCell ref="N7:N9"/>
    <mergeCell ref="AA7:AA9"/>
    <mergeCell ref="A6:A9"/>
    <mergeCell ref="A36:A37"/>
    <mergeCell ref="L36:L37"/>
    <mergeCell ref="A22:A23"/>
    <mergeCell ref="L22:L23"/>
    <mergeCell ref="A17:A18"/>
    <mergeCell ref="L17:L18"/>
    <mergeCell ref="A27:A28"/>
    <mergeCell ref="L27:L28"/>
    <mergeCell ref="A30:A31"/>
    <mergeCell ref="L30:L31"/>
    <mergeCell ref="Z6:Z9"/>
    <mergeCell ref="Y5:Z5"/>
    <mergeCell ref="A2:Z2"/>
    <mergeCell ref="A1:Z1"/>
    <mergeCell ref="A33:A34"/>
    <mergeCell ref="L33:L34"/>
    <mergeCell ref="L10:L15"/>
    <mergeCell ref="B6:B9"/>
    <mergeCell ref="L6:L9"/>
    <mergeCell ref="A4:X4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P18"/>
  <sheetViews>
    <sheetView zoomScalePageLayoutView="0" workbookViewId="0" topLeftCell="A10">
      <selection activeCell="D10" sqref="D10"/>
    </sheetView>
  </sheetViews>
  <sheetFormatPr defaultColWidth="9.00390625" defaultRowHeight="12.75"/>
  <cols>
    <col min="1" max="1" width="18.875" style="190" customWidth="1"/>
    <col min="2" max="2" width="18.00390625" style="190" customWidth="1"/>
    <col min="3" max="3" width="17.125" style="190" customWidth="1"/>
    <col min="4" max="4" width="19.375" style="190" customWidth="1"/>
    <col min="5" max="5" width="15.375" style="190" customWidth="1"/>
    <col min="6" max="6" width="29.00390625" style="190" customWidth="1"/>
    <col min="7" max="7" width="17.625" style="190" customWidth="1"/>
    <col min="8" max="8" width="28.75390625" style="190" customWidth="1"/>
    <col min="9" max="9" width="12.25390625" style="190" customWidth="1"/>
    <col min="10" max="12" width="16.875" style="190" customWidth="1"/>
    <col min="13" max="13" width="8.125" style="190" customWidth="1"/>
    <col min="14" max="14" width="8.25390625" style="190" customWidth="1"/>
    <col min="15" max="16384" width="9.125" style="190" customWidth="1"/>
  </cols>
  <sheetData>
    <row r="1" spans="1:12" ht="21.75" customHeight="1">
      <c r="A1" s="540" t="s">
        <v>102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3" ht="63" customHeight="1">
      <c r="A2" s="539" t="s">
        <v>368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192"/>
    </row>
    <row r="3" spans="1:13" ht="15.75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192"/>
      <c r="L3" s="192"/>
      <c r="M3" s="192"/>
    </row>
    <row r="4" spans="1:13" ht="15.75">
      <c r="A4" s="191"/>
      <c r="B4" s="191"/>
      <c r="C4" s="191"/>
      <c r="D4" s="191"/>
      <c r="E4" s="191"/>
      <c r="G4" s="191"/>
      <c r="H4" s="191"/>
      <c r="I4" s="191"/>
      <c r="J4" s="193"/>
      <c r="K4" s="193"/>
      <c r="L4" s="193" t="s">
        <v>103</v>
      </c>
      <c r="M4" s="192"/>
    </row>
    <row r="5" spans="1:250" ht="258" customHeight="1">
      <c r="A5" s="157" t="s">
        <v>4</v>
      </c>
      <c r="B5" s="157" t="s">
        <v>153</v>
      </c>
      <c r="C5" s="157" t="s">
        <v>154</v>
      </c>
      <c r="D5" s="157" t="s">
        <v>155</v>
      </c>
      <c r="E5" s="157" t="s">
        <v>156</v>
      </c>
      <c r="F5" s="157" t="s">
        <v>157</v>
      </c>
      <c r="G5" s="157" t="s">
        <v>158</v>
      </c>
      <c r="H5" s="157" t="s">
        <v>159</v>
      </c>
      <c r="I5" s="157" t="s">
        <v>160</v>
      </c>
      <c r="J5" s="157" t="s">
        <v>288</v>
      </c>
      <c r="K5" s="157" t="s">
        <v>289</v>
      </c>
      <c r="L5" s="157" t="s">
        <v>331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</row>
    <row r="6" spans="1:12" s="196" customFormat="1" ht="15.75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  <c r="J6" s="195">
        <v>10</v>
      </c>
      <c r="K6" s="195">
        <v>11</v>
      </c>
      <c r="L6" s="195">
        <v>12</v>
      </c>
    </row>
    <row r="7" spans="1:12" s="196" customFormat="1" ht="17.25" customHeight="1">
      <c r="A7" s="169" t="s">
        <v>14</v>
      </c>
      <c r="B7" s="467">
        <v>11128</v>
      </c>
      <c r="C7" s="195">
        <v>0</v>
      </c>
      <c r="D7" s="195">
        <v>25</v>
      </c>
      <c r="E7" s="195">
        <v>14</v>
      </c>
      <c r="F7" s="171">
        <v>1000</v>
      </c>
      <c r="G7" s="195">
        <v>2.5</v>
      </c>
      <c r="H7" s="195">
        <v>1.25</v>
      </c>
      <c r="I7" s="195">
        <v>12</v>
      </c>
      <c r="J7" s="466">
        <f>ROUND((B7/D7+C7/E7)*F7*G7*H7*12/1000,1)</f>
        <v>16692</v>
      </c>
      <c r="K7" s="466">
        <f>J7</f>
        <v>16692</v>
      </c>
      <c r="L7" s="466">
        <f>J7</f>
        <v>16692</v>
      </c>
    </row>
    <row r="8" spans="1:12" s="196" customFormat="1" ht="28.5" customHeight="1">
      <c r="A8" s="169" t="s">
        <v>113</v>
      </c>
      <c r="B8" s="195">
        <v>801</v>
      </c>
      <c r="C8" s="195">
        <v>326</v>
      </c>
      <c r="D8" s="195">
        <v>25</v>
      </c>
      <c r="E8" s="195">
        <v>14</v>
      </c>
      <c r="F8" s="171">
        <v>1000</v>
      </c>
      <c r="G8" s="195">
        <v>2.5</v>
      </c>
      <c r="H8" s="195">
        <v>1.25</v>
      </c>
      <c r="I8" s="195">
        <v>12</v>
      </c>
      <c r="J8" s="466">
        <f>ROUND((B8/D8+C8/E8)*F8*G8*H8*12/1000,1)</f>
        <v>2074.7</v>
      </c>
      <c r="K8" s="466">
        <f aca="true" t="shared" si="0" ref="K8:K15">J8</f>
        <v>2074.7</v>
      </c>
      <c r="L8" s="466">
        <f aca="true" t="shared" si="1" ref="L8:L15">J8</f>
        <v>2074.7</v>
      </c>
    </row>
    <row r="9" spans="1:12" s="196" customFormat="1" ht="30.75" customHeight="1">
      <c r="A9" s="169" t="s">
        <v>109</v>
      </c>
      <c r="B9" s="195">
        <v>628</v>
      </c>
      <c r="C9" s="195">
        <v>0</v>
      </c>
      <c r="D9" s="195">
        <v>25</v>
      </c>
      <c r="E9" s="195">
        <v>14</v>
      </c>
      <c r="F9" s="171">
        <v>1000</v>
      </c>
      <c r="G9" s="195">
        <v>2.5</v>
      </c>
      <c r="H9" s="195">
        <v>1.25</v>
      </c>
      <c r="I9" s="195">
        <v>12</v>
      </c>
      <c r="J9" s="466">
        <f aca="true" t="shared" si="2" ref="J9:J15">ROUND((B9/D9+C9/E9)*F9*G9*H9*12/1000,1)</f>
        <v>942</v>
      </c>
      <c r="K9" s="466">
        <f t="shared" si="0"/>
        <v>942</v>
      </c>
      <c r="L9" s="466">
        <f t="shared" si="1"/>
        <v>942</v>
      </c>
    </row>
    <row r="10" spans="1:12" s="196" customFormat="1" ht="30.75" customHeight="1">
      <c r="A10" s="169" t="s">
        <v>116</v>
      </c>
      <c r="B10" s="195">
        <v>300</v>
      </c>
      <c r="C10" s="195">
        <v>31</v>
      </c>
      <c r="D10" s="195">
        <v>25</v>
      </c>
      <c r="E10" s="195">
        <v>14</v>
      </c>
      <c r="F10" s="171">
        <v>1000</v>
      </c>
      <c r="G10" s="195">
        <v>2.7</v>
      </c>
      <c r="H10" s="195">
        <v>1.25</v>
      </c>
      <c r="I10" s="195">
        <v>12</v>
      </c>
      <c r="J10" s="466">
        <f t="shared" si="2"/>
        <v>575.7</v>
      </c>
      <c r="K10" s="466">
        <f t="shared" si="0"/>
        <v>575.7</v>
      </c>
      <c r="L10" s="466">
        <f t="shared" si="1"/>
        <v>575.7</v>
      </c>
    </row>
    <row r="11" spans="1:12" s="196" customFormat="1" ht="32.25" customHeight="1">
      <c r="A11" s="169" t="s">
        <v>112</v>
      </c>
      <c r="B11" s="195">
        <v>228</v>
      </c>
      <c r="C11" s="195">
        <v>39</v>
      </c>
      <c r="D11" s="195">
        <v>25</v>
      </c>
      <c r="E11" s="195">
        <v>14</v>
      </c>
      <c r="F11" s="171">
        <v>1000</v>
      </c>
      <c r="G11" s="195">
        <v>2.5</v>
      </c>
      <c r="H11" s="195">
        <v>1.25</v>
      </c>
      <c r="I11" s="195">
        <v>12</v>
      </c>
      <c r="J11" s="466">
        <f t="shared" si="2"/>
        <v>446.5</v>
      </c>
      <c r="K11" s="466">
        <f t="shared" si="0"/>
        <v>446.5</v>
      </c>
      <c r="L11" s="466">
        <f t="shared" si="1"/>
        <v>446.5</v>
      </c>
    </row>
    <row r="12" spans="1:12" s="196" customFormat="1" ht="30.75" customHeight="1">
      <c r="A12" s="169" t="s">
        <v>117</v>
      </c>
      <c r="B12" s="195">
        <v>752</v>
      </c>
      <c r="C12" s="195">
        <v>0</v>
      </c>
      <c r="D12" s="195">
        <v>25</v>
      </c>
      <c r="E12" s="195">
        <v>14</v>
      </c>
      <c r="F12" s="171">
        <v>1000</v>
      </c>
      <c r="G12" s="195">
        <v>2.5</v>
      </c>
      <c r="H12" s="195">
        <v>1.25</v>
      </c>
      <c r="I12" s="195">
        <v>12</v>
      </c>
      <c r="J12" s="466">
        <f t="shared" si="2"/>
        <v>1128</v>
      </c>
      <c r="K12" s="466">
        <f t="shared" si="0"/>
        <v>1128</v>
      </c>
      <c r="L12" s="466">
        <f t="shared" si="1"/>
        <v>1128</v>
      </c>
    </row>
    <row r="13" spans="1:12" s="196" customFormat="1" ht="31.5" customHeight="1">
      <c r="A13" s="169" t="s">
        <v>118</v>
      </c>
      <c r="B13" s="195">
        <v>364</v>
      </c>
      <c r="C13" s="195">
        <v>78</v>
      </c>
      <c r="D13" s="195">
        <v>25</v>
      </c>
      <c r="E13" s="195">
        <v>14</v>
      </c>
      <c r="F13" s="171">
        <v>1000</v>
      </c>
      <c r="G13" s="195">
        <v>2.5</v>
      </c>
      <c r="H13" s="195">
        <v>1.25</v>
      </c>
      <c r="I13" s="195">
        <v>12</v>
      </c>
      <c r="J13" s="466">
        <f t="shared" si="2"/>
        <v>754.9</v>
      </c>
      <c r="K13" s="466">
        <f t="shared" si="0"/>
        <v>754.9</v>
      </c>
      <c r="L13" s="466">
        <f t="shared" si="1"/>
        <v>754.9</v>
      </c>
    </row>
    <row r="14" spans="1:12" s="196" customFormat="1" ht="31.5" customHeight="1">
      <c r="A14" s="169" t="s">
        <v>119</v>
      </c>
      <c r="B14" s="195">
        <v>834</v>
      </c>
      <c r="C14" s="195">
        <v>0</v>
      </c>
      <c r="D14" s="195">
        <v>25</v>
      </c>
      <c r="E14" s="195">
        <v>14</v>
      </c>
      <c r="F14" s="171">
        <v>1000</v>
      </c>
      <c r="G14" s="195">
        <v>2.5</v>
      </c>
      <c r="H14" s="195">
        <v>1.25</v>
      </c>
      <c r="I14" s="195">
        <v>12</v>
      </c>
      <c r="J14" s="466">
        <f t="shared" si="2"/>
        <v>1251</v>
      </c>
      <c r="K14" s="466">
        <f t="shared" si="0"/>
        <v>1251</v>
      </c>
      <c r="L14" s="466">
        <f t="shared" si="1"/>
        <v>1251</v>
      </c>
    </row>
    <row r="15" spans="1:12" s="196" customFormat="1" ht="31.5" customHeight="1">
      <c r="A15" s="169" t="s">
        <v>120</v>
      </c>
      <c r="B15" s="195">
        <v>1052</v>
      </c>
      <c r="C15" s="195">
        <v>0</v>
      </c>
      <c r="D15" s="195">
        <v>25</v>
      </c>
      <c r="E15" s="195">
        <v>14</v>
      </c>
      <c r="F15" s="171">
        <v>1000</v>
      </c>
      <c r="G15" s="195">
        <v>2.5</v>
      </c>
      <c r="H15" s="195">
        <v>1.25</v>
      </c>
      <c r="I15" s="195">
        <v>12</v>
      </c>
      <c r="J15" s="466">
        <f t="shared" si="2"/>
        <v>1578</v>
      </c>
      <c r="K15" s="466">
        <f t="shared" si="0"/>
        <v>1578</v>
      </c>
      <c r="L15" s="466">
        <f t="shared" si="1"/>
        <v>1578</v>
      </c>
    </row>
    <row r="16" spans="1:12" s="196" customFormat="1" ht="21" customHeight="1">
      <c r="A16" s="197" t="s">
        <v>15</v>
      </c>
      <c r="B16" s="171">
        <f>SUM(B7:B15)</f>
        <v>16087</v>
      </c>
      <c r="C16" s="195">
        <f>SUM(C7:C15)</f>
        <v>474</v>
      </c>
      <c r="D16" s="195" t="s">
        <v>345</v>
      </c>
      <c r="E16" s="195" t="s">
        <v>345</v>
      </c>
      <c r="F16" s="195" t="s">
        <v>345</v>
      </c>
      <c r="G16" s="195" t="s">
        <v>345</v>
      </c>
      <c r="H16" s="195" t="s">
        <v>345</v>
      </c>
      <c r="I16" s="195" t="s">
        <v>345</v>
      </c>
      <c r="J16" s="466">
        <f>SUM(J7:J15)</f>
        <v>25442.800000000003</v>
      </c>
      <c r="K16" s="466">
        <f>SUM(K7:K15)</f>
        <v>25442.800000000003</v>
      </c>
      <c r="L16" s="466">
        <f>SUM(L7:L15)</f>
        <v>25442.800000000003</v>
      </c>
    </row>
    <row r="18" spans="1:3" ht="15.75">
      <c r="A18" s="58"/>
      <c r="B18" s="58"/>
      <c r="C18" s="198"/>
    </row>
  </sheetData>
  <sheetProtection/>
  <mergeCells count="3">
    <mergeCell ref="A3:J3"/>
    <mergeCell ref="A2:L2"/>
    <mergeCell ref="A1:L1"/>
  </mergeCells>
  <printOptions/>
  <pageMargins left="0.15748031496062992" right="0.16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0.875" style="24" customWidth="1"/>
    <col min="2" max="2" width="14.00390625" style="298" customWidth="1"/>
    <col min="3" max="3" width="17.125" style="298" customWidth="1"/>
    <col min="4" max="7" width="13.625" style="298" customWidth="1"/>
    <col min="8" max="8" width="15.375" style="298" customWidth="1"/>
    <col min="9" max="9" width="14.375" style="24" customWidth="1"/>
    <col min="10" max="10" width="13.625" style="24" customWidth="1"/>
    <col min="11" max="11" width="13.25390625" style="24" customWidth="1"/>
    <col min="12" max="16384" width="9.125" style="24" customWidth="1"/>
  </cols>
  <sheetData>
    <row r="1" spans="1:11" ht="15.75">
      <c r="A1" s="541" t="s">
        <v>107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59.25" customHeight="1">
      <c r="A2" s="539" t="s">
        <v>379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ht="1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1.25" customHeight="1">
      <c r="A4" s="291"/>
      <c r="B4" s="297"/>
      <c r="C4" s="297"/>
      <c r="D4" s="297"/>
      <c r="E4" s="297"/>
      <c r="F4" s="297"/>
      <c r="G4" s="297"/>
      <c r="H4" s="297"/>
      <c r="I4" s="291"/>
      <c r="J4" s="291"/>
      <c r="K4" s="291"/>
    </row>
    <row r="5" ht="15.75">
      <c r="K5" s="193" t="s">
        <v>103</v>
      </c>
    </row>
    <row r="6" spans="1:11" s="300" customFormat="1" ht="60" customHeight="1">
      <c r="A6" s="97" t="s">
        <v>4</v>
      </c>
      <c r="B6" s="299" t="s">
        <v>375</v>
      </c>
      <c r="C6" s="299" t="s">
        <v>369</v>
      </c>
      <c r="D6" s="299" t="s">
        <v>370</v>
      </c>
      <c r="E6" s="299" t="s">
        <v>371</v>
      </c>
      <c r="F6" s="299" t="s">
        <v>372</v>
      </c>
      <c r="G6" s="299" t="s">
        <v>373</v>
      </c>
      <c r="H6" s="299" t="s">
        <v>374</v>
      </c>
      <c r="I6" s="246" t="s">
        <v>376</v>
      </c>
      <c r="J6" s="246" t="s">
        <v>377</v>
      </c>
      <c r="K6" s="246" t="s">
        <v>378</v>
      </c>
    </row>
    <row r="7" spans="1:11" s="296" customFormat="1" ht="19.5" customHeight="1">
      <c r="A7" s="301" t="s">
        <v>14</v>
      </c>
      <c r="B7" s="293">
        <v>26</v>
      </c>
      <c r="C7" s="293">
        <v>15</v>
      </c>
      <c r="D7" s="293">
        <v>30</v>
      </c>
      <c r="E7" s="303">
        <v>52.263</v>
      </c>
      <c r="F7" s="302">
        <f aca="true" t="shared" si="0" ref="F7:F12">E7*0.1</f>
        <v>5.2263</v>
      </c>
      <c r="G7" s="304">
        <f aca="true" t="shared" si="1" ref="G7:G12">B7*F7</f>
        <v>135.8838</v>
      </c>
      <c r="H7" s="294">
        <v>41067</v>
      </c>
      <c r="I7" s="294">
        <f>G7+H7</f>
        <v>41202.8838</v>
      </c>
      <c r="J7" s="294">
        <v>41510</v>
      </c>
      <c r="K7" s="294">
        <v>41812.6</v>
      </c>
    </row>
    <row r="8" spans="1:11" s="296" customFormat="1" ht="19.5" customHeight="1">
      <c r="A8" s="301" t="s">
        <v>113</v>
      </c>
      <c r="B8" s="293">
        <v>1</v>
      </c>
      <c r="C8" s="293">
        <v>15</v>
      </c>
      <c r="D8" s="293">
        <v>30</v>
      </c>
      <c r="E8" s="303">
        <v>30.894</v>
      </c>
      <c r="F8" s="302">
        <f t="shared" si="0"/>
        <v>3.0894</v>
      </c>
      <c r="G8" s="304">
        <f t="shared" si="1"/>
        <v>3.0894</v>
      </c>
      <c r="H8" s="294">
        <v>926.8199999999999</v>
      </c>
      <c r="I8" s="294">
        <f>G8+H8</f>
        <v>929.9093999999999</v>
      </c>
      <c r="J8" s="294">
        <v>936.5</v>
      </c>
      <c r="K8" s="294">
        <v>943.3</v>
      </c>
    </row>
    <row r="9" spans="1:11" s="296" customFormat="1" ht="19.5" customHeight="1">
      <c r="A9" s="245" t="s">
        <v>109</v>
      </c>
      <c r="B9" s="293">
        <v>1</v>
      </c>
      <c r="C9" s="293">
        <v>15</v>
      </c>
      <c r="D9" s="293">
        <v>30</v>
      </c>
      <c r="E9" s="303">
        <v>12</v>
      </c>
      <c r="F9" s="302">
        <f t="shared" si="0"/>
        <v>1.2000000000000002</v>
      </c>
      <c r="G9" s="304">
        <f t="shared" si="1"/>
        <v>1.2000000000000002</v>
      </c>
      <c r="H9" s="294">
        <v>377.25</v>
      </c>
      <c r="I9" s="294">
        <f>G9+H9</f>
        <v>378.45</v>
      </c>
      <c r="J9" s="294">
        <v>381.3</v>
      </c>
      <c r="K9" s="294">
        <v>384.1</v>
      </c>
    </row>
    <row r="10" spans="1:11" s="296" customFormat="1" ht="30" customHeight="1">
      <c r="A10" s="245" t="s">
        <v>116</v>
      </c>
      <c r="B10" s="293">
        <v>1</v>
      </c>
      <c r="C10" s="293">
        <v>15</v>
      </c>
      <c r="D10" s="293">
        <v>30</v>
      </c>
      <c r="E10" s="303">
        <v>20.687</v>
      </c>
      <c r="F10" s="302">
        <f t="shared" si="0"/>
        <v>2.0687</v>
      </c>
      <c r="G10" s="304">
        <f t="shared" si="1"/>
        <v>2.0687</v>
      </c>
      <c r="H10" s="294">
        <v>620.55</v>
      </c>
      <c r="I10" s="294">
        <f>G10+H10</f>
        <v>622.6187</v>
      </c>
      <c r="J10" s="294">
        <v>627.1</v>
      </c>
      <c r="K10" s="294">
        <v>631.7</v>
      </c>
    </row>
    <row r="11" spans="1:11" s="296" customFormat="1" ht="19.5" customHeight="1">
      <c r="A11" s="245" t="s">
        <v>118</v>
      </c>
      <c r="B11" s="293">
        <v>1</v>
      </c>
      <c r="C11" s="293">
        <v>15</v>
      </c>
      <c r="D11" s="293">
        <v>30</v>
      </c>
      <c r="E11" s="303">
        <v>12.575</v>
      </c>
      <c r="F11" s="302">
        <f t="shared" si="0"/>
        <v>1.2575</v>
      </c>
      <c r="G11" s="304">
        <f t="shared" si="1"/>
        <v>1.2575</v>
      </c>
      <c r="H11" s="294">
        <v>377.4</v>
      </c>
      <c r="I11" s="294">
        <f>G11+H11</f>
        <v>378.65749999999997</v>
      </c>
      <c r="J11" s="294">
        <v>381.4</v>
      </c>
      <c r="K11" s="294">
        <v>384.2</v>
      </c>
    </row>
    <row r="12" spans="1:11" s="296" customFormat="1" ht="19.5" customHeight="1">
      <c r="A12" s="245" t="s">
        <v>119</v>
      </c>
      <c r="B12" s="293">
        <v>1</v>
      </c>
      <c r="C12" s="293">
        <v>15</v>
      </c>
      <c r="D12" s="293">
        <v>30</v>
      </c>
      <c r="E12" s="303">
        <v>44.11</v>
      </c>
      <c r="F12" s="302">
        <f t="shared" si="0"/>
        <v>4.4110000000000005</v>
      </c>
      <c r="G12" s="304">
        <f t="shared" si="1"/>
        <v>4.4110000000000005</v>
      </c>
      <c r="H12" s="294">
        <v>1323.3</v>
      </c>
      <c r="I12" s="294">
        <f>G12+H12-0.1</f>
        <v>1327.611</v>
      </c>
      <c r="J12" s="294">
        <v>1337.7</v>
      </c>
      <c r="K12" s="294">
        <v>1347.4</v>
      </c>
    </row>
    <row r="13" spans="1:11" s="296" customFormat="1" ht="19.5" customHeight="1">
      <c r="A13" s="247" t="s">
        <v>12</v>
      </c>
      <c r="B13" s="293">
        <f>SUM(B7:B8)</f>
        <v>27</v>
      </c>
      <c r="C13" s="293" t="s">
        <v>345</v>
      </c>
      <c r="D13" s="293" t="s">
        <v>345</v>
      </c>
      <c r="E13" s="293" t="s">
        <v>345</v>
      </c>
      <c r="F13" s="293" t="s">
        <v>345</v>
      </c>
      <c r="G13" s="294">
        <f>SUM(G7:G11)</f>
        <v>143.4994</v>
      </c>
      <c r="H13" s="294">
        <f>SUM(H7:H12)</f>
        <v>44692.32000000001</v>
      </c>
      <c r="I13" s="294">
        <f>SUM(I7:I12)+0.1</f>
        <v>44840.23039999999</v>
      </c>
      <c r="J13" s="294">
        <f>SUM(J7:J12)</f>
        <v>45174</v>
      </c>
      <c r="K13" s="294">
        <f>SUM(K7:K12)</f>
        <v>45503.299999999996</v>
      </c>
    </row>
  </sheetData>
  <sheetProtection/>
  <mergeCells count="2">
    <mergeCell ref="A2:K2"/>
    <mergeCell ref="A1:K1"/>
  </mergeCells>
  <printOptions/>
  <pageMargins left="0.29" right="0.28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0"/>
  <sheetViews>
    <sheetView zoomScalePageLayoutView="0" workbookViewId="0" topLeftCell="A4">
      <selection activeCell="L5" sqref="L5"/>
    </sheetView>
  </sheetViews>
  <sheetFormatPr defaultColWidth="9.00390625" defaultRowHeight="12.75"/>
  <cols>
    <col min="1" max="1" width="32.125" style="16" customWidth="1"/>
    <col min="2" max="2" width="9.125" style="16" hidden="1" customWidth="1"/>
    <col min="3" max="3" width="20.125" style="16" customWidth="1"/>
    <col min="4" max="4" width="10.375" style="16" customWidth="1"/>
    <col min="5" max="5" width="18.75390625" style="16" customWidth="1"/>
    <col min="6" max="6" width="31.125" style="16" customWidth="1"/>
    <col min="7" max="7" width="12.00390625" style="16" customWidth="1"/>
    <col min="8" max="8" width="17.375" style="16" customWidth="1"/>
    <col min="9" max="9" width="17.00390625" style="16" customWidth="1"/>
    <col min="10" max="10" width="17.125" style="16" customWidth="1"/>
    <col min="11" max="11" width="10.125" style="16" customWidth="1"/>
    <col min="12" max="12" width="11.25390625" style="16" customWidth="1"/>
    <col min="13" max="13" width="11.00390625" style="16" hidden="1" customWidth="1"/>
    <col min="14" max="14" width="12.375" style="16" hidden="1" customWidth="1"/>
    <col min="15" max="15" width="11.25390625" style="16" hidden="1" customWidth="1"/>
    <col min="16" max="16" width="11.00390625" style="16" hidden="1" customWidth="1"/>
    <col min="17" max="17" width="12.25390625" style="16" hidden="1" customWidth="1"/>
    <col min="18" max="18" width="14.375" style="16" hidden="1" customWidth="1"/>
    <col min="19" max="19" width="11.00390625" style="16" hidden="1" customWidth="1"/>
    <col min="20" max="20" width="12.25390625" style="16" hidden="1" customWidth="1"/>
    <col min="21" max="16384" width="9.125" style="16" customWidth="1"/>
  </cols>
  <sheetData>
    <row r="1" spans="1:10" ht="15.75">
      <c r="A1" s="540" t="s">
        <v>107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8" ht="46.5" customHeight="1">
      <c r="A2" s="539" t="s">
        <v>358</v>
      </c>
      <c r="B2" s="539"/>
      <c r="C2" s="539"/>
      <c r="D2" s="539"/>
      <c r="E2" s="539"/>
      <c r="F2" s="539"/>
      <c r="G2" s="539"/>
      <c r="H2" s="539"/>
      <c r="I2" s="539"/>
      <c r="J2" s="539"/>
      <c r="K2" s="234"/>
      <c r="L2" s="234"/>
      <c r="M2" s="234"/>
      <c r="N2" s="234"/>
      <c r="O2" s="234"/>
      <c r="P2" s="234"/>
      <c r="Q2" s="234"/>
      <c r="R2" s="234"/>
    </row>
    <row r="3" spans="1:18" ht="12.75">
      <c r="A3" s="542"/>
      <c r="B3" s="542"/>
      <c r="C3" s="542"/>
      <c r="D3" s="542"/>
      <c r="E3" s="542"/>
      <c r="F3" s="542"/>
      <c r="G3" s="542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15.75">
      <c r="A4" s="234"/>
      <c r="B4" s="234"/>
      <c r="C4" s="234"/>
      <c r="D4" s="234"/>
      <c r="E4" s="234"/>
      <c r="F4" s="234"/>
      <c r="G4" s="234"/>
      <c r="H4" s="236"/>
      <c r="I4" s="236"/>
      <c r="J4" s="193" t="s">
        <v>103</v>
      </c>
      <c r="K4" s="234"/>
      <c r="L4" s="234"/>
      <c r="M4" s="234"/>
      <c r="N4" s="234"/>
      <c r="O4" s="234"/>
      <c r="P4" s="234"/>
      <c r="Q4" s="234"/>
      <c r="R4" s="234"/>
    </row>
    <row r="5" spans="1:10" ht="297" customHeight="1">
      <c r="A5" s="122" t="s">
        <v>4</v>
      </c>
      <c r="B5" s="122" t="s">
        <v>105</v>
      </c>
      <c r="C5" s="122" t="s">
        <v>161</v>
      </c>
      <c r="D5" s="122" t="s">
        <v>164</v>
      </c>
      <c r="E5" s="122" t="s">
        <v>162</v>
      </c>
      <c r="F5" s="122" t="s">
        <v>163</v>
      </c>
      <c r="G5" s="122" t="s">
        <v>160</v>
      </c>
      <c r="H5" s="246" t="s">
        <v>290</v>
      </c>
      <c r="I5" s="246" t="s">
        <v>291</v>
      </c>
      <c r="J5" s="246" t="s">
        <v>357</v>
      </c>
    </row>
    <row r="6" spans="1:10" ht="12.75">
      <c r="A6" s="124">
        <v>1</v>
      </c>
      <c r="B6" s="240">
        <v>2</v>
      </c>
      <c r="C6" s="240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7</v>
      </c>
      <c r="J6" s="240">
        <v>7</v>
      </c>
    </row>
    <row r="7" spans="1:10" s="58" customFormat="1" ht="15.75">
      <c r="A7" s="241" t="s">
        <v>14</v>
      </c>
      <c r="B7" s="237">
        <f>C7+D7+E7</f>
        <v>132.547</v>
      </c>
      <c r="C7" s="80">
        <v>129</v>
      </c>
      <c r="D7" s="242">
        <v>1.047</v>
      </c>
      <c r="E7" s="238">
        <v>2.5</v>
      </c>
      <c r="F7" s="243">
        <v>1.25</v>
      </c>
      <c r="G7" s="244">
        <v>12</v>
      </c>
      <c r="H7" s="238">
        <v>5064.9</v>
      </c>
      <c r="I7" s="238">
        <v>5064.9</v>
      </c>
      <c r="J7" s="238">
        <v>5064.9</v>
      </c>
    </row>
    <row r="8" spans="1:10" s="58" customFormat="1" ht="15.75">
      <c r="A8" s="241" t="s">
        <v>113</v>
      </c>
      <c r="B8" s="237">
        <f aca="true" t="shared" si="0" ref="B8:B15">C8+D8+E8</f>
        <v>242.547</v>
      </c>
      <c r="C8" s="80">
        <v>239</v>
      </c>
      <c r="D8" s="242">
        <v>1.047</v>
      </c>
      <c r="E8" s="238">
        <v>2.5</v>
      </c>
      <c r="F8" s="243">
        <v>1.25</v>
      </c>
      <c r="G8" s="244">
        <v>12</v>
      </c>
      <c r="H8" s="238">
        <v>9383.8</v>
      </c>
      <c r="I8" s="238">
        <v>9383.8</v>
      </c>
      <c r="J8" s="238">
        <v>9383.8</v>
      </c>
    </row>
    <row r="9" spans="1:10" s="58" customFormat="1" ht="15.75">
      <c r="A9" s="241" t="s">
        <v>109</v>
      </c>
      <c r="B9" s="237">
        <f t="shared" si="0"/>
        <v>133.547</v>
      </c>
      <c r="C9" s="80">
        <v>130</v>
      </c>
      <c r="D9" s="242">
        <v>1.047</v>
      </c>
      <c r="E9" s="238">
        <v>2.5</v>
      </c>
      <c r="F9" s="243">
        <v>1.25</v>
      </c>
      <c r="G9" s="244">
        <v>12</v>
      </c>
      <c r="H9" s="238">
        <v>5104.1</v>
      </c>
      <c r="I9" s="238">
        <v>5104.1</v>
      </c>
      <c r="J9" s="238">
        <v>5104.1</v>
      </c>
    </row>
    <row r="10" spans="1:10" s="58" customFormat="1" ht="14.25" customHeight="1">
      <c r="A10" s="245" t="s">
        <v>116</v>
      </c>
      <c r="B10" s="237">
        <f t="shared" si="0"/>
        <v>66.747</v>
      </c>
      <c r="C10" s="80">
        <v>63</v>
      </c>
      <c r="D10" s="242">
        <v>1.047</v>
      </c>
      <c r="E10" s="238">
        <v>2.7</v>
      </c>
      <c r="F10" s="243">
        <v>1.25</v>
      </c>
      <c r="G10" s="244">
        <v>12</v>
      </c>
      <c r="H10" s="238">
        <v>2671.4</v>
      </c>
      <c r="I10" s="238">
        <v>2671.4</v>
      </c>
      <c r="J10" s="238">
        <v>2671.4</v>
      </c>
    </row>
    <row r="11" spans="1:10" s="58" customFormat="1" ht="15.75">
      <c r="A11" s="241" t="s">
        <v>112</v>
      </c>
      <c r="B11" s="237">
        <f t="shared" si="0"/>
        <v>74.547</v>
      </c>
      <c r="C11" s="80">
        <v>71</v>
      </c>
      <c r="D11" s="242">
        <v>1.047</v>
      </c>
      <c r="E11" s="238">
        <v>2.5</v>
      </c>
      <c r="F11" s="243">
        <v>1.25</v>
      </c>
      <c r="G11" s="244">
        <v>12</v>
      </c>
      <c r="H11" s="238">
        <v>2787.6</v>
      </c>
      <c r="I11" s="238">
        <v>2787.6</v>
      </c>
      <c r="J11" s="238">
        <v>2787.6</v>
      </c>
    </row>
    <row r="12" spans="1:10" s="58" customFormat="1" ht="15.75">
      <c r="A12" s="241" t="s">
        <v>117</v>
      </c>
      <c r="B12" s="237">
        <f t="shared" si="0"/>
        <v>141.547</v>
      </c>
      <c r="C12" s="80">
        <v>138</v>
      </c>
      <c r="D12" s="242">
        <v>1.047</v>
      </c>
      <c r="E12" s="238">
        <v>2.5</v>
      </c>
      <c r="F12" s="243">
        <v>1.25</v>
      </c>
      <c r="G12" s="244">
        <v>12</v>
      </c>
      <c r="H12" s="238">
        <v>5418.2</v>
      </c>
      <c r="I12" s="238">
        <v>5418.2</v>
      </c>
      <c r="J12" s="238">
        <v>5418.2</v>
      </c>
    </row>
    <row r="13" spans="1:10" s="58" customFormat="1" ht="15.75">
      <c r="A13" s="241" t="s">
        <v>118</v>
      </c>
      <c r="B13" s="237">
        <f t="shared" si="0"/>
        <v>110.547</v>
      </c>
      <c r="C13" s="80">
        <v>107</v>
      </c>
      <c r="D13" s="242">
        <v>1.047</v>
      </c>
      <c r="E13" s="238">
        <v>2.5</v>
      </c>
      <c r="F13" s="243">
        <v>1.25</v>
      </c>
      <c r="G13" s="244">
        <v>12</v>
      </c>
      <c r="H13" s="238">
        <v>4201.1</v>
      </c>
      <c r="I13" s="238">
        <v>4201.1</v>
      </c>
      <c r="J13" s="238">
        <v>4201.1</v>
      </c>
    </row>
    <row r="14" spans="1:10" s="58" customFormat="1" ht="15.75">
      <c r="A14" s="241" t="s">
        <v>119</v>
      </c>
      <c r="B14" s="237">
        <f t="shared" si="0"/>
        <v>198.547</v>
      </c>
      <c r="C14" s="80">
        <v>195</v>
      </c>
      <c r="D14" s="242">
        <v>1.047</v>
      </c>
      <c r="E14" s="238">
        <v>2.5</v>
      </c>
      <c r="F14" s="243">
        <v>1.25</v>
      </c>
      <c r="G14" s="244">
        <v>12</v>
      </c>
      <c r="H14" s="238">
        <v>7656.2</v>
      </c>
      <c r="I14" s="238">
        <v>7656.2</v>
      </c>
      <c r="J14" s="238">
        <v>7656.2</v>
      </c>
    </row>
    <row r="15" spans="1:10" s="58" customFormat="1" ht="15.75">
      <c r="A15" s="241" t="s">
        <v>120</v>
      </c>
      <c r="B15" s="237">
        <f t="shared" si="0"/>
        <v>187.547</v>
      </c>
      <c r="C15" s="80">
        <v>184</v>
      </c>
      <c r="D15" s="242">
        <v>1.047</v>
      </c>
      <c r="E15" s="238">
        <v>2.5</v>
      </c>
      <c r="F15" s="243">
        <v>1.25</v>
      </c>
      <c r="G15" s="244">
        <v>12</v>
      </c>
      <c r="H15" s="238">
        <v>7224.3</v>
      </c>
      <c r="I15" s="238">
        <v>7224.3</v>
      </c>
      <c r="J15" s="238">
        <v>7224.3</v>
      </c>
    </row>
    <row r="16" spans="1:10" s="58" customFormat="1" ht="21.75" customHeight="1">
      <c r="A16" s="247" t="s">
        <v>12</v>
      </c>
      <c r="B16" s="105">
        <f>SUM(B7:B15)</f>
        <v>1288.123</v>
      </c>
      <c r="C16" s="244">
        <f>SUM(C7:C15)</f>
        <v>1256</v>
      </c>
      <c r="D16" s="244"/>
      <c r="E16" s="238"/>
      <c r="F16" s="238"/>
      <c r="G16" s="238"/>
      <c r="H16" s="238">
        <f>SUM(H7:H15)</f>
        <v>49511.6</v>
      </c>
      <c r="I16" s="238">
        <v>49511.6</v>
      </c>
      <c r="J16" s="238">
        <v>49511.6</v>
      </c>
    </row>
    <row r="17" s="58" customFormat="1" ht="15.75"/>
    <row r="20" ht="12.75">
      <c r="F20" s="239"/>
    </row>
  </sheetData>
  <sheetProtection/>
  <mergeCells count="3">
    <mergeCell ref="A3:G3"/>
    <mergeCell ref="A2:J2"/>
    <mergeCell ref="A1:J1"/>
  </mergeCells>
  <printOptions/>
  <pageMargins left="0.1968503937007874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4"/>
  <sheetViews>
    <sheetView zoomScale="118" zoomScaleNormal="118" zoomScalePageLayoutView="0" workbookViewId="0" topLeftCell="I23">
      <selection activeCell="O44" sqref="N44:O44"/>
    </sheetView>
  </sheetViews>
  <sheetFormatPr defaultColWidth="9.00390625" defaultRowHeight="12.75"/>
  <cols>
    <col min="1" max="1" width="26.25390625" style="16" customWidth="1"/>
    <col min="2" max="2" width="19.25390625" style="16" hidden="1" customWidth="1"/>
    <col min="3" max="3" width="8.625" style="16" customWidth="1"/>
    <col min="4" max="4" width="8.75390625" style="16" customWidth="1"/>
    <col min="5" max="5" width="9.00390625" style="16" customWidth="1"/>
    <col min="6" max="6" width="8.25390625" style="16" customWidth="1"/>
    <col min="7" max="7" width="9.25390625" style="16" hidden="1" customWidth="1"/>
    <col min="8" max="8" width="9.375" style="16" customWidth="1"/>
    <col min="9" max="9" width="8.375" style="16" customWidth="1"/>
    <col min="10" max="10" width="8.875" style="16" customWidth="1"/>
    <col min="11" max="11" width="9.125" style="16" customWidth="1"/>
    <col min="12" max="12" width="9.25390625" style="16" customWidth="1"/>
    <col min="13" max="13" width="9.125" style="16" hidden="1" customWidth="1"/>
    <col min="14" max="14" width="12.00390625" style="16" customWidth="1"/>
    <col min="15" max="15" width="7.625" style="16" customWidth="1"/>
    <col min="16" max="16" width="8.75390625" style="16" customWidth="1"/>
    <col min="17" max="17" width="9.125" style="16" customWidth="1"/>
    <col min="18" max="18" width="10.75390625" style="16" customWidth="1"/>
    <col min="19" max="19" width="13.25390625" style="16" customWidth="1"/>
    <col min="20" max="20" width="17.25390625" style="16" customWidth="1"/>
    <col min="21" max="21" width="10.625" style="16" hidden="1" customWidth="1"/>
    <col min="22" max="22" width="15.875" style="16" customWidth="1"/>
    <col min="23" max="23" width="13.375" style="16" hidden="1" customWidth="1"/>
    <col min="24" max="24" width="12.625" style="16" hidden="1" customWidth="1"/>
    <col min="25" max="26" width="15.875" style="16" customWidth="1"/>
    <col min="27" max="16384" width="9.125" style="16" customWidth="1"/>
  </cols>
  <sheetData>
    <row r="1" spans="1:26" ht="12.75">
      <c r="A1" s="550" t="s">
        <v>104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</row>
    <row r="2" spans="1:26" ht="12.75" customHeight="1">
      <c r="A2" s="557" t="s">
        <v>483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</row>
    <row r="3" spans="1:26" ht="14.25" customHeight="1">
      <c r="A3" s="549" t="s">
        <v>137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</row>
    <row r="4" spans="1:26" ht="12.75">
      <c r="A4" s="550" t="s">
        <v>136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</row>
    <row r="5" ht="7.5" customHeight="1"/>
    <row r="6" spans="1:22" s="36" customFormat="1" ht="23.25" customHeight="1" thickBot="1">
      <c r="A6" s="36" t="s">
        <v>135</v>
      </c>
      <c r="V6" s="108" t="s">
        <v>30</v>
      </c>
    </row>
    <row r="7" spans="1:26" ht="72.75" customHeight="1">
      <c r="A7" s="554" t="s">
        <v>304</v>
      </c>
      <c r="B7" s="126"/>
      <c r="C7" s="554" t="s">
        <v>121</v>
      </c>
      <c r="D7" s="554"/>
      <c r="E7" s="554" t="s">
        <v>122</v>
      </c>
      <c r="F7" s="554"/>
      <c r="G7" s="126"/>
      <c r="H7" s="544" t="s">
        <v>128</v>
      </c>
      <c r="I7" s="544"/>
      <c r="J7" s="544" t="s">
        <v>127</v>
      </c>
      <c r="K7" s="544"/>
      <c r="L7" s="544" t="s">
        <v>114</v>
      </c>
      <c r="M7" s="126"/>
      <c r="N7" s="544" t="s">
        <v>126</v>
      </c>
      <c r="O7" s="544" t="s">
        <v>125</v>
      </c>
      <c r="P7" s="544"/>
      <c r="Q7" s="544"/>
      <c r="R7" s="555" t="s">
        <v>129</v>
      </c>
      <c r="S7" s="544" t="s">
        <v>133</v>
      </c>
      <c r="T7" s="544" t="s">
        <v>134</v>
      </c>
      <c r="U7" s="544" t="s">
        <v>130</v>
      </c>
      <c r="V7" s="551" t="s">
        <v>316</v>
      </c>
      <c r="W7" s="552" t="s">
        <v>131</v>
      </c>
      <c r="X7" s="546" t="s">
        <v>132</v>
      </c>
      <c r="Y7" s="543"/>
      <c r="Z7" s="543"/>
    </row>
    <row r="8" spans="1:26" ht="95.25" customHeight="1" thickBot="1">
      <c r="A8" s="554"/>
      <c r="B8" s="126"/>
      <c r="C8" s="128" t="s">
        <v>123</v>
      </c>
      <c r="D8" s="128" t="s">
        <v>124</v>
      </c>
      <c r="E8" s="128" t="s">
        <v>123</v>
      </c>
      <c r="F8" s="128" t="s">
        <v>124</v>
      </c>
      <c r="G8" s="128" t="s">
        <v>115</v>
      </c>
      <c r="H8" s="128" t="s">
        <v>123</v>
      </c>
      <c r="I8" s="128" t="s">
        <v>124</v>
      </c>
      <c r="J8" s="128" t="s">
        <v>123</v>
      </c>
      <c r="K8" s="128" t="s">
        <v>124</v>
      </c>
      <c r="L8" s="544"/>
      <c r="M8" s="126"/>
      <c r="N8" s="544"/>
      <c r="O8" s="128" t="s">
        <v>123</v>
      </c>
      <c r="P8" s="128" t="s">
        <v>124</v>
      </c>
      <c r="Q8" s="129" t="s">
        <v>12</v>
      </c>
      <c r="R8" s="555"/>
      <c r="S8" s="544"/>
      <c r="T8" s="544"/>
      <c r="U8" s="544"/>
      <c r="V8" s="551"/>
      <c r="W8" s="553"/>
      <c r="X8" s="547"/>
      <c r="Y8" s="543"/>
      <c r="Z8" s="543"/>
    </row>
    <row r="9" spans="1:26" s="109" customFormat="1" ht="13.5" thickBot="1">
      <c r="A9" s="124">
        <v>1</v>
      </c>
      <c r="B9" s="124"/>
      <c r="C9" s="127">
        <v>2</v>
      </c>
      <c r="D9" s="127">
        <v>3</v>
      </c>
      <c r="E9" s="127">
        <v>4</v>
      </c>
      <c r="F9" s="127">
        <v>5</v>
      </c>
      <c r="G9" s="127">
        <v>6</v>
      </c>
      <c r="H9" s="127">
        <v>8</v>
      </c>
      <c r="I9" s="127">
        <v>9</v>
      </c>
      <c r="J9" s="127">
        <v>8</v>
      </c>
      <c r="K9" s="127">
        <v>9</v>
      </c>
      <c r="L9" s="127">
        <v>10</v>
      </c>
      <c r="M9" s="124"/>
      <c r="N9" s="127">
        <v>11</v>
      </c>
      <c r="O9" s="127">
        <v>12</v>
      </c>
      <c r="P9" s="127">
        <v>13</v>
      </c>
      <c r="Q9" s="124">
        <v>14</v>
      </c>
      <c r="R9" s="124">
        <v>15</v>
      </c>
      <c r="S9" s="127">
        <v>16</v>
      </c>
      <c r="T9" s="127">
        <v>17</v>
      </c>
      <c r="U9" s="127">
        <v>17</v>
      </c>
      <c r="V9" s="127">
        <v>18</v>
      </c>
      <c r="W9" s="64"/>
      <c r="X9" s="63"/>
      <c r="Y9" s="33"/>
      <c r="Z9" s="33"/>
    </row>
    <row r="10" spans="1:26" ht="15">
      <c r="A10" s="32" t="s">
        <v>10</v>
      </c>
      <c r="B10" s="126"/>
      <c r="C10" s="138">
        <v>232.2</v>
      </c>
      <c r="D10" s="132">
        <v>261.61</v>
      </c>
      <c r="E10" s="132">
        <v>2.08</v>
      </c>
      <c r="F10" s="139">
        <v>3.04</v>
      </c>
      <c r="G10" s="132">
        <f>16.4*0.8</f>
        <v>13.12</v>
      </c>
      <c r="H10" s="133">
        <v>13.12</v>
      </c>
      <c r="I10" s="133">
        <v>25.76</v>
      </c>
      <c r="J10" s="140">
        <v>920</v>
      </c>
      <c r="K10" s="140">
        <v>875</v>
      </c>
      <c r="L10" s="141">
        <v>21</v>
      </c>
      <c r="M10" s="124"/>
      <c r="N10" s="142">
        <v>110</v>
      </c>
      <c r="O10" s="142">
        <v>4881</v>
      </c>
      <c r="P10" s="143">
        <v>5432.5</v>
      </c>
      <c r="Q10" s="144">
        <f>O10+P10</f>
        <v>10313.5</v>
      </c>
      <c r="R10" s="145"/>
      <c r="S10" s="141"/>
      <c r="T10" s="143"/>
      <c r="U10" s="146">
        <f>(P10+Q10+T10)/1000</f>
        <v>15.746</v>
      </c>
      <c r="V10" s="142">
        <f>Q10+T10</f>
        <v>10313.5</v>
      </c>
      <c r="W10" s="110" t="e">
        <f>#REF!*(V10-#REF!)/1000+1.49</f>
        <v>#REF!</v>
      </c>
      <c r="X10" s="111" t="e">
        <f aca="true" t="shared" si="0" ref="X10:X18">W10+U10</f>
        <v>#REF!</v>
      </c>
      <c r="Y10" s="35"/>
      <c r="Z10" s="35"/>
    </row>
    <row r="11" spans="1:26" ht="15">
      <c r="A11" s="32" t="s">
        <v>113</v>
      </c>
      <c r="B11" s="126"/>
      <c r="C11" s="138">
        <v>232.2</v>
      </c>
      <c r="D11" s="132">
        <v>261.61</v>
      </c>
      <c r="E11" s="132">
        <v>2.08</v>
      </c>
      <c r="F11" s="139">
        <v>3.04</v>
      </c>
      <c r="G11" s="132">
        <f aca="true" t="shared" si="1" ref="G11:G18">16.4*0.8</f>
        <v>13.12</v>
      </c>
      <c r="H11" s="133">
        <v>13.12</v>
      </c>
      <c r="I11" s="133">
        <v>25.76</v>
      </c>
      <c r="J11" s="140">
        <v>3</v>
      </c>
      <c r="K11" s="140">
        <v>154</v>
      </c>
      <c r="L11" s="141">
        <v>21</v>
      </c>
      <c r="M11" s="124"/>
      <c r="N11" s="142">
        <v>110</v>
      </c>
      <c r="O11" s="142">
        <v>15.9</v>
      </c>
      <c r="P11" s="142">
        <v>956.1</v>
      </c>
      <c r="Q11" s="144">
        <f aca="true" t="shared" si="2" ref="Q11:Q18">O11+P11</f>
        <v>972</v>
      </c>
      <c r="R11" s="145"/>
      <c r="S11" s="141"/>
      <c r="T11" s="143"/>
      <c r="U11" s="146">
        <f aca="true" t="shared" si="3" ref="U11:U18">(P11+Q11+T11)/1000</f>
        <v>1.9281</v>
      </c>
      <c r="V11" s="142">
        <f>Q11+T11+0.02</f>
        <v>972.02</v>
      </c>
      <c r="W11" s="112" t="e">
        <f>#REF!*(V11-#REF!)/1000</f>
        <v>#REF!</v>
      </c>
      <c r="X11" s="113" t="e">
        <f t="shared" si="0"/>
        <v>#REF!</v>
      </c>
      <c r="Y11" s="35"/>
      <c r="Z11" s="35"/>
    </row>
    <row r="12" spans="1:26" ht="15.75" customHeight="1">
      <c r="A12" s="32" t="s">
        <v>109</v>
      </c>
      <c r="B12" s="126"/>
      <c r="C12" s="138">
        <v>232.2</v>
      </c>
      <c r="D12" s="132">
        <v>261.61</v>
      </c>
      <c r="E12" s="132">
        <v>2.08</v>
      </c>
      <c r="F12" s="139">
        <v>3.04</v>
      </c>
      <c r="G12" s="132">
        <f t="shared" si="1"/>
        <v>13.12</v>
      </c>
      <c r="H12" s="133">
        <v>13.12</v>
      </c>
      <c r="I12" s="133">
        <v>25.76</v>
      </c>
      <c r="J12" s="140"/>
      <c r="K12" s="140">
        <v>210</v>
      </c>
      <c r="L12" s="141">
        <v>21</v>
      </c>
      <c r="M12" s="124"/>
      <c r="N12" s="142">
        <v>110</v>
      </c>
      <c r="O12" s="142"/>
      <c r="P12" s="142">
        <v>1303.8</v>
      </c>
      <c r="Q12" s="144">
        <f t="shared" si="2"/>
        <v>1303.8</v>
      </c>
      <c r="R12" s="145"/>
      <c r="S12" s="141"/>
      <c r="T12" s="143"/>
      <c r="U12" s="146">
        <f t="shared" si="3"/>
        <v>2.6075999999999997</v>
      </c>
      <c r="V12" s="142">
        <f>Q12+T12</f>
        <v>1303.8</v>
      </c>
      <c r="W12" s="112" t="e">
        <f>#REF!*(V12-#REF!)/1000</f>
        <v>#REF!</v>
      </c>
      <c r="X12" s="113" t="e">
        <f t="shared" si="0"/>
        <v>#REF!</v>
      </c>
      <c r="Y12" s="35"/>
      <c r="Z12" s="35"/>
    </row>
    <row r="13" spans="1:26" ht="24.75" customHeight="1">
      <c r="A13" s="32" t="s">
        <v>116</v>
      </c>
      <c r="B13" s="126"/>
      <c r="C13" s="138"/>
      <c r="D13" s="132"/>
      <c r="E13" s="132"/>
      <c r="F13" s="139"/>
      <c r="G13" s="132">
        <f t="shared" si="1"/>
        <v>13.12</v>
      </c>
      <c r="H13" s="133"/>
      <c r="I13" s="133"/>
      <c r="J13" s="140"/>
      <c r="K13" s="140"/>
      <c r="L13" s="141"/>
      <c r="M13" s="124"/>
      <c r="N13" s="142"/>
      <c r="O13" s="142"/>
      <c r="P13" s="142"/>
      <c r="Q13" s="144">
        <f t="shared" si="2"/>
        <v>0</v>
      </c>
      <c r="R13" s="145"/>
      <c r="S13" s="141"/>
      <c r="T13" s="143"/>
      <c r="U13" s="146">
        <f t="shared" si="3"/>
        <v>0</v>
      </c>
      <c r="V13" s="142">
        <f>Q13+T13</f>
        <v>0</v>
      </c>
      <c r="W13" s="112" t="e">
        <f>#REF!*(V13-#REF!)/1000</f>
        <v>#REF!</v>
      </c>
      <c r="X13" s="113" t="e">
        <f t="shared" si="0"/>
        <v>#REF!</v>
      </c>
      <c r="Y13" s="35"/>
      <c r="Z13" s="35"/>
    </row>
    <row r="14" spans="1:26" ht="24.75" customHeight="1">
      <c r="A14" s="32" t="s">
        <v>112</v>
      </c>
      <c r="B14" s="126"/>
      <c r="C14" s="138">
        <v>232.2</v>
      </c>
      <c r="D14" s="132">
        <v>261.61</v>
      </c>
      <c r="E14" s="132">
        <v>2.08</v>
      </c>
      <c r="F14" s="139">
        <v>3.04</v>
      </c>
      <c r="G14" s="132">
        <f t="shared" si="1"/>
        <v>13.12</v>
      </c>
      <c r="H14" s="133">
        <v>13.12</v>
      </c>
      <c r="I14" s="133">
        <v>25.76</v>
      </c>
      <c r="J14" s="140">
        <v>97</v>
      </c>
      <c r="K14" s="140">
        <v>25</v>
      </c>
      <c r="L14" s="141">
        <v>21</v>
      </c>
      <c r="M14" s="124"/>
      <c r="N14" s="142">
        <v>110</v>
      </c>
      <c r="O14" s="142">
        <v>514.6</v>
      </c>
      <c r="P14" s="142">
        <v>155.2</v>
      </c>
      <c r="Q14" s="144">
        <f t="shared" si="2"/>
        <v>669.8</v>
      </c>
      <c r="R14" s="147">
        <v>206.4</v>
      </c>
      <c r="S14" s="148">
        <v>127</v>
      </c>
      <c r="T14" s="142">
        <f>R14*S14/1000</f>
        <v>26.212799999999998</v>
      </c>
      <c r="U14" s="146">
        <f t="shared" si="3"/>
        <v>0.8512128</v>
      </c>
      <c r="V14" s="142">
        <f>Q14+T14</f>
        <v>696.0128</v>
      </c>
      <c r="W14" s="112" t="e">
        <f>#REF!*(V14-#REF!)/1000</f>
        <v>#REF!</v>
      </c>
      <c r="X14" s="113" t="e">
        <f t="shared" si="0"/>
        <v>#REF!</v>
      </c>
      <c r="Y14" s="35"/>
      <c r="Z14" s="35"/>
    </row>
    <row r="15" spans="1:26" ht="15" customHeight="1">
      <c r="A15" s="32" t="s">
        <v>117</v>
      </c>
      <c r="B15" s="126"/>
      <c r="C15" s="138">
        <v>232.2</v>
      </c>
      <c r="D15" s="132">
        <v>261.61</v>
      </c>
      <c r="E15" s="132">
        <v>2.08</v>
      </c>
      <c r="F15" s="139">
        <v>3.04</v>
      </c>
      <c r="G15" s="132">
        <f t="shared" si="1"/>
        <v>13.12</v>
      </c>
      <c r="H15" s="133">
        <v>13.12</v>
      </c>
      <c r="I15" s="133">
        <v>25.76</v>
      </c>
      <c r="J15" s="140">
        <v>69</v>
      </c>
      <c r="K15" s="140">
        <v>278</v>
      </c>
      <c r="L15" s="141">
        <v>21</v>
      </c>
      <c r="M15" s="124"/>
      <c r="N15" s="142">
        <v>110</v>
      </c>
      <c r="O15" s="142">
        <v>366.1</v>
      </c>
      <c r="P15" s="142">
        <v>1726</v>
      </c>
      <c r="Q15" s="144">
        <f t="shared" si="2"/>
        <v>2092.1</v>
      </c>
      <c r="R15" s="147">
        <v>206.4</v>
      </c>
      <c r="S15" s="141">
        <v>180</v>
      </c>
      <c r="T15" s="142">
        <f>R15*S15/1000</f>
        <v>37.152</v>
      </c>
      <c r="U15" s="146">
        <f t="shared" si="3"/>
        <v>3.855252</v>
      </c>
      <c r="V15" s="142">
        <f>Q15+T15+0.04</f>
        <v>2129.292</v>
      </c>
      <c r="W15" s="112" t="e">
        <f>#REF!*(V15-#REF!)/1000</f>
        <v>#REF!</v>
      </c>
      <c r="X15" s="113" t="e">
        <f t="shared" si="0"/>
        <v>#REF!</v>
      </c>
      <c r="Y15" s="35"/>
      <c r="Z15" s="35"/>
    </row>
    <row r="16" spans="1:26" ht="14.25" customHeight="1">
      <c r="A16" s="32" t="s">
        <v>118</v>
      </c>
      <c r="B16" s="126"/>
      <c r="C16" s="138">
        <v>232.2</v>
      </c>
      <c r="D16" s="132">
        <v>261.61</v>
      </c>
      <c r="E16" s="132">
        <v>2.08</v>
      </c>
      <c r="F16" s="139">
        <v>3.04</v>
      </c>
      <c r="G16" s="132">
        <f t="shared" si="1"/>
        <v>13.12</v>
      </c>
      <c r="H16" s="133">
        <v>13.12</v>
      </c>
      <c r="I16" s="133">
        <v>25.76</v>
      </c>
      <c r="J16" s="140">
        <v>68</v>
      </c>
      <c r="K16" s="140">
        <v>117</v>
      </c>
      <c r="L16" s="141">
        <v>21</v>
      </c>
      <c r="M16" s="124"/>
      <c r="N16" s="142">
        <v>110</v>
      </c>
      <c r="O16" s="142">
        <v>360.8</v>
      </c>
      <c r="P16" s="142">
        <v>726.4</v>
      </c>
      <c r="Q16" s="144">
        <f t="shared" si="2"/>
        <v>1087.2</v>
      </c>
      <c r="R16" s="147"/>
      <c r="S16" s="141"/>
      <c r="T16" s="142"/>
      <c r="U16" s="146">
        <f t="shared" si="3"/>
        <v>1.8135999999999999</v>
      </c>
      <c r="V16" s="142">
        <f>Q16+T16+0.03</f>
        <v>1087.23</v>
      </c>
      <c r="W16" s="112" t="e">
        <f>#REF!*(V16-#REF!)/1000</f>
        <v>#REF!</v>
      </c>
      <c r="X16" s="113" t="e">
        <f t="shared" si="0"/>
        <v>#REF!</v>
      </c>
      <c r="Y16" s="35"/>
      <c r="Z16" s="35"/>
    </row>
    <row r="17" spans="1:26" ht="15" customHeight="1">
      <c r="A17" s="32" t="s">
        <v>119</v>
      </c>
      <c r="B17" s="126"/>
      <c r="C17" s="138">
        <v>232.2</v>
      </c>
      <c r="D17" s="132">
        <v>261.61</v>
      </c>
      <c r="E17" s="132">
        <v>2.08</v>
      </c>
      <c r="F17" s="139">
        <v>3.04</v>
      </c>
      <c r="G17" s="132">
        <f t="shared" si="1"/>
        <v>13.12</v>
      </c>
      <c r="H17" s="133">
        <v>13.12</v>
      </c>
      <c r="I17" s="133">
        <v>25.76</v>
      </c>
      <c r="J17" s="140">
        <v>46</v>
      </c>
      <c r="K17" s="140">
        <v>132</v>
      </c>
      <c r="L17" s="141">
        <v>21</v>
      </c>
      <c r="M17" s="124"/>
      <c r="N17" s="142">
        <v>110</v>
      </c>
      <c r="O17" s="142">
        <v>244</v>
      </c>
      <c r="P17" s="142">
        <v>819.5</v>
      </c>
      <c r="Q17" s="144">
        <f t="shared" si="2"/>
        <v>1063.5</v>
      </c>
      <c r="R17" s="147">
        <v>206.4</v>
      </c>
      <c r="S17" s="141">
        <v>30</v>
      </c>
      <c r="T17" s="142">
        <f>R17*S17/1000</f>
        <v>6.192</v>
      </c>
      <c r="U17" s="146">
        <f t="shared" si="3"/>
        <v>1.889192</v>
      </c>
      <c r="V17" s="142">
        <f>Q17+T17</f>
        <v>1069.692</v>
      </c>
      <c r="W17" s="112" t="e">
        <f>#REF!*(V17-#REF!)/1000</f>
        <v>#REF!</v>
      </c>
      <c r="X17" s="113" t="e">
        <f t="shared" si="0"/>
        <v>#REF!</v>
      </c>
      <c r="Y17" s="35"/>
      <c r="Z17" s="35"/>
    </row>
    <row r="18" spans="1:26" ht="15.75" customHeight="1" thickBot="1">
      <c r="A18" s="32" t="s">
        <v>120</v>
      </c>
      <c r="B18" s="126"/>
      <c r="C18" s="138">
        <v>232.2</v>
      </c>
      <c r="D18" s="132">
        <v>261.61</v>
      </c>
      <c r="E18" s="132">
        <v>2.08</v>
      </c>
      <c r="F18" s="139">
        <v>3.04</v>
      </c>
      <c r="G18" s="132">
        <f t="shared" si="1"/>
        <v>13.12</v>
      </c>
      <c r="H18" s="133">
        <v>13.12</v>
      </c>
      <c r="I18" s="133">
        <v>25.76</v>
      </c>
      <c r="J18" s="140">
        <v>71</v>
      </c>
      <c r="K18" s="140">
        <v>287</v>
      </c>
      <c r="L18" s="141">
        <v>21</v>
      </c>
      <c r="M18" s="124"/>
      <c r="N18" s="142">
        <v>110</v>
      </c>
      <c r="O18" s="142">
        <v>376.7</v>
      </c>
      <c r="P18" s="142">
        <v>1781.9</v>
      </c>
      <c r="Q18" s="144">
        <f t="shared" si="2"/>
        <v>2158.6</v>
      </c>
      <c r="R18" s="145"/>
      <c r="S18" s="141"/>
      <c r="T18" s="142"/>
      <c r="U18" s="146">
        <f t="shared" si="3"/>
        <v>3.9405</v>
      </c>
      <c r="V18" s="142">
        <f>Q18+T18</f>
        <v>2158.6</v>
      </c>
      <c r="W18" s="114" t="e">
        <f>#REF!*(V18-#REF!)/1000</f>
        <v>#REF!</v>
      </c>
      <c r="X18" s="115" t="e">
        <f t="shared" si="0"/>
        <v>#REF!</v>
      </c>
      <c r="Y18" s="35"/>
      <c r="Z18" s="35"/>
    </row>
    <row r="19" spans="1:26" ht="17.25" customHeight="1" thickBot="1">
      <c r="A19" s="130" t="s">
        <v>12</v>
      </c>
      <c r="B19" s="126"/>
      <c r="C19" s="149"/>
      <c r="D19" s="149"/>
      <c r="E19" s="149"/>
      <c r="F19" s="149"/>
      <c r="G19" s="149"/>
      <c r="H19" s="150"/>
      <c r="I19" s="150"/>
      <c r="J19" s="136">
        <f>SUM(J10:J18)</f>
        <v>1274</v>
      </c>
      <c r="K19" s="136">
        <f>SUM(K10:K18)</f>
        <v>2078</v>
      </c>
      <c r="L19" s="137"/>
      <c r="M19" s="124"/>
      <c r="N19" s="137"/>
      <c r="O19" s="151">
        <f>SUM(O10:O18)</f>
        <v>6759.1</v>
      </c>
      <c r="P19" s="151">
        <f>SUM(P10:P18)</f>
        <v>12901.4</v>
      </c>
      <c r="Q19" s="151">
        <f>SUM(Q10:Q18)</f>
        <v>19660.499999999996</v>
      </c>
      <c r="R19" s="124"/>
      <c r="S19" s="136">
        <f aca="true" t="shared" si="4" ref="S19:X19">SUM(S10:S18)</f>
        <v>337</v>
      </c>
      <c r="T19" s="151">
        <f t="shared" si="4"/>
        <v>69.55680000000001</v>
      </c>
      <c r="U19" s="137">
        <f t="shared" si="4"/>
        <v>32.6314568</v>
      </c>
      <c r="V19" s="151">
        <f>SUM(V10:V18)</f>
        <v>19730.1468</v>
      </c>
      <c r="W19" s="119" t="e">
        <f t="shared" si="4"/>
        <v>#REF!</v>
      </c>
      <c r="X19" s="118" t="e">
        <f t="shared" si="4"/>
        <v>#REF!</v>
      </c>
      <c r="Y19" s="120"/>
      <c r="Z19" s="120"/>
    </row>
    <row r="20" spans="25:26" ht="12.75">
      <c r="Y20" s="116"/>
      <c r="Z20" s="116"/>
    </row>
    <row r="21" spans="1:22" s="36" customFormat="1" ht="39" customHeight="1">
      <c r="A21" s="565" t="s">
        <v>141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P21" s="566" t="s">
        <v>143</v>
      </c>
      <c r="Q21" s="566"/>
      <c r="R21" s="566"/>
      <c r="S21" s="566"/>
      <c r="T21" s="566"/>
      <c r="U21" s="566"/>
      <c r="V21" s="566"/>
    </row>
    <row r="22" spans="1:26" ht="157.5" customHeight="1">
      <c r="A22" s="554" t="s">
        <v>4</v>
      </c>
      <c r="B22" s="126"/>
      <c r="C22" s="554" t="s">
        <v>138</v>
      </c>
      <c r="D22" s="554"/>
      <c r="E22" s="544" t="s">
        <v>139</v>
      </c>
      <c r="F22" s="544"/>
      <c r="G22" s="126"/>
      <c r="H22" s="544" t="s">
        <v>140</v>
      </c>
      <c r="I22" s="544"/>
      <c r="J22" s="544"/>
      <c r="K22" s="544" t="s">
        <v>142</v>
      </c>
      <c r="L22" s="544"/>
      <c r="M22" s="544"/>
      <c r="N22" s="544"/>
      <c r="O22" s="121"/>
      <c r="P22" s="554" t="s">
        <v>4</v>
      </c>
      <c r="Q22" s="554"/>
      <c r="R22" s="554"/>
      <c r="S22" s="544" t="s">
        <v>292</v>
      </c>
      <c r="T22" s="544" t="s">
        <v>293</v>
      </c>
      <c r="U22" s="544"/>
      <c r="V22" s="544" t="s">
        <v>552</v>
      </c>
      <c r="W22" s="548" t="s">
        <v>131</v>
      </c>
      <c r="X22" s="548" t="s">
        <v>132</v>
      </c>
      <c r="Y22" s="544" t="s">
        <v>553</v>
      </c>
      <c r="Z22" s="544" t="s">
        <v>554</v>
      </c>
    </row>
    <row r="23" spans="1:26" ht="25.5" customHeight="1">
      <c r="A23" s="554"/>
      <c r="B23" s="126"/>
      <c r="C23" s="554"/>
      <c r="D23" s="554"/>
      <c r="E23" s="544"/>
      <c r="F23" s="544"/>
      <c r="G23" s="127" t="s">
        <v>115</v>
      </c>
      <c r="H23" s="544"/>
      <c r="I23" s="544"/>
      <c r="J23" s="544"/>
      <c r="K23" s="123" t="s">
        <v>286</v>
      </c>
      <c r="L23" s="123" t="s">
        <v>287</v>
      </c>
      <c r="M23" s="123"/>
      <c r="N23" s="123" t="s">
        <v>328</v>
      </c>
      <c r="O23" s="33"/>
      <c r="P23" s="554"/>
      <c r="Q23" s="554"/>
      <c r="R23" s="554"/>
      <c r="S23" s="544"/>
      <c r="T23" s="544"/>
      <c r="U23" s="544"/>
      <c r="V23" s="544"/>
      <c r="W23" s="548"/>
      <c r="X23" s="548"/>
      <c r="Y23" s="544"/>
      <c r="Z23" s="544"/>
    </row>
    <row r="24" spans="1:26" ht="15">
      <c r="A24" s="124">
        <v>1</v>
      </c>
      <c r="B24" s="126"/>
      <c r="C24" s="555">
        <v>2</v>
      </c>
      <c r="D24" s="555"/>
      <c r="E24" s="555">
        <v>4</v>
      </c>
      <c r="F24" s="555"/>
      <c r="G24" s="127">
        <v>6</v>
      </c>
      <c r="H24" s="555">
        <v>8</v>
      </c>
      <c r="I24" s="555"/>
      <c r="J24" s="555"/>
      <c r="K24" s="545">
        <v>9</v>
      </c>
      <c r="L24" s="545"/>
      <c r="M24" s="545"/>
      <c r="N24" s="545"/>
      <c r="O24" s="34"/>
      <c r="P24" s="561">
        <v>1</v>
      </c>
      <c r="Q24" s="561"/>
      <c r="R24" s="561"/>
      <c r="S24" s="125">
        <v>2</v>
      </c>
      <c r="T24" s="125">
        <v>3</v>
      </c>
      <c r="U24" s="125"/>
      <c r="V24" s="125">
        <v>4</v>
      </c>
      <c r="W24" s="125">
        <v>21</v>
      </c>
      <c r="X24" s="125">
        <v>22</v>
      </c>
      <c r="Y24" s="125">
        <v>5</v>
      </c>
      <c r="Z24" s="125">
        <v>6</v>
      </c>
    </row>
    <row r="25" spans="1:26" ht="13.5" customHeight="1">
      <c r="A25" s="32" t="s">
        <v>10</v>
      </c>
      <c r="B25" s="126"/>
      <c r="C25" s="555">
        <v>189</v>
      </c>
      <c r="D25" s="555"/>
      <c r="E25" s="556">
        <v>54536.67</v>
      </c>
      <c r="F25" s="556"/>
      <c r="G25" s="31">
        <f>16.4*0.8</f>
        <v>13.12</v>
      </c>
      <c r="H25" s="562"/>
      <c r="I25" s="562"/>
      <c r="J25" s="562"/>
      <c r="K25" s="152">
        <f>C25*(E25-H25)/1000</f>
        <v>10307.430629999999</v>
      </c>
      <c r="L25" s="152">
        <f>C25*(E25-H25)/1000</f>
        <v>10307.430629999999</v>
      </c>
      <c r="M25" s="152">
        <v>10307.430629999999</v>
      </c>
      <c r="N25" s="152">
        <f>C25*(E25-H25)/1000</f>
        <v>10307.430629999999</v>
      </c>
      <c r="O25" s="35"/>
      <c r="P25" s="558" t="s">
        <v>10</v>
      </c>
      <c r="Q25" s="558"/>
      <c r="R25" s="558"/>
      <c r="S25" s="142">
        <f>V10</f>
        <v>10313.5</v>
      </c>
      <c r="T25" s="142">
        <f aca="true" t="shared" si="5" ref="T25:T33">K25</f>
        <v>10307.430629999999</v>
      </c>
      <c r="U25" s="142"/>
      <c r="V25" s="142">
        <f>S25+T25</f>
        <v>20620.93063</v>
      </c>
      <c r="W25" s="154" t="e">
        <f>#REF!*(V25-#REF!)/1000+1.49</f>
        <v>#REF!</v>
      </c>
      <c r="X25" s="146" t="e">
        <f>W25+U25</f>
        <v>#REF!</v>
      </c>
      <c r="Y25" s="142">
        <v>20620.93063</v>
      </c>
      <c r="Z25" s="142">
        <v>20620.93063</v>
      </c>
    </row>
    <row r="26" spans="1:26" ht="15.75" customHeight="1">
      <c r="A26" s="32" t="s">
        <v>113</v>
      </c>
      <c r="B26" s="126"/>
      <c r="C26" s="555">
        <v>45</v>
      </c>
      <c r="D26" s="555"/>
      <c r="E26" s="556">
        <v>54571.1</v>
      </c>
      <c r="F26" s="556"/>
      <c r="G26" s="31">
        <f aca="true" t="shared" si="6" ref="G26:G33">16.4*0.8</f>
        <v>13.12</v>
      </c>
      <c r="H26" s="562"/>
      <c r="I26" s="562"/>
      <c r="J26" s="562"/>
      <c r="K26" s="152">
        <f>C26*(E26-H26)/1000</f>
        <v>2455.6995</v>
      </c>
      <c r="L26" s="152">
        <f aca="true" t="shared" si="7" ref="L26:L33">C26*(E26-H26)/1000</f>
        <v>2455.6995</v>
      </c>
      <c r="M26" s="152">
        <v>10308.43063</v>
      </c>
      <c r="N26" s="152">
        <f aca="true" t="shared" si="8" ref="N26:N33">C26*(E26-H26)/1000</f>
        <v>2455.6995</v>
      </c>
      <c r="O26" s="35"/>
      <c r="P26" s="558" t="s">
        <v>113</v>
      </c>
      <c r="Q26" s="558"/>
      <c r="R26" s="558"/>
      <c r="S26" s="142">
        <f aca="true" t="shared" si="9" ref="S26:S33">V11</f>
        <v>972.02</v>
      </c>
      <c r="T26" s="142">
        <f t="shared" si="5"/>
        <v>2455.6995</v>
      </c>
      <c r="U26" s="142"/>
      <c r="V26" s="142">
        <f>S26+T26</f>
        <v>3427.7195</v>
      </c>
      <c r="W26" s="146" t="e">
        <f>#REF!*(V26-#REF!)/1000</f>
        <v>#REF!</v>
      </c>
      <c r="X26" s="146" t="e">
        <f>W26+U26</f>
        <v>#REF!</v>
      </c>
      <c r="Y26" s="142">
        <v>3427.7195</v>
      </c>
      <c r="Z26" s="142">
        <v>3427.7195</v>
      </c>
    </row>
    <row r="27" spans="1:26" ht="13.5" customHeight="1">
      <c r="A27" s="32" t="s">
        <v>109</v>
      </c>
      <c r="B27" s="126"/>
      <c r="C27" s="555">
        <v>34</v>
      </c>
      <c r="D27" s="555"/>
      <c r="E27" s="556">
        <v>54571.1</v>
      </c>
      <c r="F27" s="556"/>
      <c r="G27" s="31">
        <f t="shared" si="6"/>
        <v>13.12</v>
      </c>
      <c r="H27" s="559">
        <v>54571.1</v>
      </c>
      <c r="I27" s="559"/>
      <c r="J27" s="559"/>
      <c r="K27" s="152"/>
      <c r="L27" s="152"/>
      <c r="M27" s="152"/>
      <c r="N27" s="152"/>
      <c r="O27" s="35"/>
      <c r="P27" s="558" t="s">
        <v>109</v>
      </c>
      <c r="Q27" s="558"/>
      <c r="R27" s="558"/>
      <c r="S27" s="142">
        <f>V12</f>
        <v>1303.8</v>
      </c>
      <c r="T27" s="142"/>
      <c r="U27" s="142"/>
      <c r="V27" s="142">
        <f>S27+T27</f>
        <v>1303.8</v>
      </c>
      <c r="W27" s="146" t="e">
        <f>#REF!*(V27-#REF!)/1000</f>
        <v>#REF!</v>
      </c>
      <c r="X27" s="146" t="e">
        <f>W27+U27</f>
        <v>#REF!</v>
      </c>
      <c r="Y27" s="142">
        <v>1303.8</v>
      </c>
      <c r="Z27" s="142">
        <v>1303.8</v>
      </c>
    </row>
    <row r="28" spans="1:26" ht="25.5" customHeight="1">
      <c r="A28" s="32" t="s">
        <v>116</v>
      </c>
      <c r="B28" s="126"/>
      <c r="C28" s="555">
        <v>16</v>
      </c>
      <c r="D28" s="555"/>
      <c r="E28" s="556">
        <v>42215.22</v>
      </c>
      <c r="F28" s="556"/>
      <c r="G28" s="31"/>
      <c r="H28" s="559"/>
      <c r="I28" s="559"/>
      <c r="J28" s="559"/>
      <c r="K28" s="152">
        <f aca="true" t="shared" si="10" ref="K28:K33">C28*(E28-H28)/1000</f>
        <v>675.44352</v>
      </c>
      <c r="L28" s="152">
        <f>C28*(E28-H28)/1000</f>
        <v>675.44352</v>
      </c>
      <c r="M28" s="152">
        <v>10308.43063</v>
      </c>
      <c r="N28" s="152">
        <f>C28*(E28-H28)/1000</f>
        <v>675.44352</v>
      </c>
      <c r="O28" s="35"/>
      <c r="P28" s="558" t="s">
        <v>116</v>
      </c>
      <c r="Q28" s="558"/>
      <c r="R28" s="558"/>
      <c r="S28" s="142"/>
      <c r="T28" s="142"/>
      <c r="U28" s="142"/>
      <c r="V28" s="142">
        <f>K28</f>
        <v>675.44352</v>
      </c>
      <c r="W28" s="146"/>
      <c r="X28" s="146"/>
      <c r="Y28" s="142">
        <v>675.44352</v>
      </c>
      <c r="Z28" s="142">
        <v>675.44352</v>
      </c>
    </row>
    <row r="29" spans="1:26" ht="26.25" customHeight="1">
      <c r="A29" s="32" t="s">
        <v>112</v>
      </c>
      <c r="B29" s="126"/>
      <c r="C29" s="555">
        <v>14</v>
      </c>
      <c r="D29" s="555"/>
      <c r="E29" s="556">
        <v>54571.1</v>
      </c>
      <c r="F29" s="556"/>
      <c r="G29" s="31">
        <f t="shared" si="6"/>
        <v>13.12</v>
      </c>
      <c r="H29" s="559">
        <v>25000</v>
      </c>
      <c r="I29" s="559"/>
      <c r="J29" s="559"/>
      <c r="K29" s="152">
        <f t="shared" si="10"/>
        <v>413.99539999999996</v>
      </c>
      <c r="L29" s="152">
        <f t="shared" si="7"/>
        <v>413.99539999999996</v>
      </c>
      <c r="M29" s="152">
        <v>10311.43063</v>
      </c>
      <c r="N29" s="152">
        <f t="shared" si="8"/>
        <v>413.99539999999996</v>
      </c>
      <c r="O29" s="35"/>
      <c r="P29" s="558" t="s">
        <v>112</v>
      </c>
      <c r="Q29" s="558"/>
      <c r="R29" s="558"/>
      <c r="S29" s="142">
        <f t="shared" si="9"/>
        <v>696.0128</v>
      </c>
      <c r="T29" s="142">
        <f t="shared" si="5"/>
        <v>413.99539999999996</v>
      </c>
      <c r="U29" s="142"/>
      <c r="V29" s="142">
        <f>S29+T29</f>
        <v>1110.0082</v>
      </c>
      <c r="W29" s="146" t="e">
        <f>#REF!*(V29-#REF!)/1000</f>
        <v>#REF!</v>
      </c>
      <c r="X29" s="146" t="e">
        <f>W29+U29</f>
        <v>#REF!</v>
      </c>
      <c r="Y29" s="142">
        <v>1110.0082</v>
      </c>
      <c r="Z29" s="142">
        <v>1110.0082</v>
      </c>
    </row>
    <row r="30" spans="1:26" ht="15" customHeight="1">
      <c r="A30" s="32" t="s">
        <v>117</v>
      </c>
      <c r="B30" s="126"/>
      <c r="C30" s="555">
        <v>41</v>
      </c>
      <c r="D30" s="555"/>
      <c r="E30" s="556">
        <v>54571.1</v>
      </c>
      <c r="F30" s="556"/>
      <c r="G30" s="31">
        <f t="shared" si="6"/>
        <v>13.12</v>
      </c>
      <c r="H30" s="559">
        <v>39772</v>
      </c>
      <c r="I30" s="559"/>
      <c r="J30" s="559"/>
      <c r="K30" s="152">
        <f t="shared" si="10"/>
        <v>606.7631</v>
      </c>
      <c r="L30" s="152">
        <f t="shared" si="7"/>
        <v>606.7631</v>
      </c>
      <c r="M30" s="152">
        <v>10312.43063</v>
      </c>
      <c r="N30" s="152">
        <f t="shared" si="8"/>
        <v>606.7631</v>
      </c>
      <c r="O30" s="35"/>
      <c r="P30" s="558" t="s">
        <v>117</v>
      </c>
      <c r="Q30" s="558"/>
      <c r="R30" s="558"/>
      <c r="S30" s="142">
        <f t="shared" si="9"/>
        <v>2129.292</v>
      </c>
      <c r="T30" s="142">
        <f t="shared" si="5"/>
        <v>606.7631</v>
      </c>
      <c r="U30" s="142"/>
      <c r="V30" s="142">
        <f>S30+T30</f>
        <v>2736.0551</v>
      </c>
      <c r="W30" s="146" t="e">
        <f>#REF!*(V30-#REF!)/1000</f>
        <v>#REF!</v>
      </c>
      <c r="X30" s="146" t="e">
        <f>W30+U30</f>
        <v>#REF!</v>
      </c>
      <c r="Y30" s="142">
        <v>2736.0551</v>
      </c>
      <c r="Z30" s="142">
        <v>2736.0551</v>
      </c>
    </row>
    <row r="31" spans="1:26" ht="14.25" customHeight="1">
      <c r="A31" s="32" t="s">
        <v>118</v>
      </c>
      <c r="B31" s="126"/>
      <c r="C31" s="555">
        <v>40</v>
      </c>
      <c r="D31" s="555"/>
      <c r="E31" s="556">
        <v>54571.1</v>
      </c>
      <c r="F31" s="556"/>
      <c r="G31" s="31">
        <f t="shared" si="6"/>
        <v>13.12</v>
      </c>
      <c r="H31" s="559">
        <v>31300</v>
      </c>
      <c r="I31" s="559"/>
      <c r="J31" s="559"/>
      <c r="K31" s="152">
        <f t="shared" si="10"/>
        <v>930.844</v>
      </c>
      <c r="L31" s="152">
        <f t="shared" si="7"/>
        <v>930.844</v>
      </c>
      <c r="M31" s="152">
        <v>10313.43063</v>
      </c>
      <c r="N31" s="152">
        <f t="shared" si="8"/>
        <v>930.844</v>
      </c>
      <c r="O31" s="35"/>
      <c r="P31" s="558" t="s">
        <v>118</v>
      </c>
      <c r="Q31" s="558"/>
      <c r="R31" s="558"/>
      <c r="S31" s="142">
        <f t="shared" si="9"/>
        <v>1087.23</v>
      </c>
      <c r="T31" s="142">
        <f t="shared" si="5"/>
        <v>930.844</v>
      </c>
      <c r="U31" s="142"/>
      <c r="V31" s="142">
        <f>S31+T31</f>
        <v>2018.074</v>
      </c>
      <c r="W31" s="146" t="e">
        <f>#REF!*(V31-#REF!)/1000</f>
        <v>#REF!</v>
      </c>
      <c r="X31" s="146" t="e">
        <f>W31+U31</f>
        <v>#REF!</v>
      </c>
      <c r="Y31" s="142">
        <v>2018.074</v>
      </c>
      <c r="Z31" s="142">
        <v>2018.074</v>
      </c>
    </row>
    <row r="32" spans="1:26" ht="15" customHeight="1">
      <c r="A32" s="32" t="s">
        <v>119</v>
      </c>
      <c r="B32" s="126"/>
      <c r="C32" s="555">
        <v>22</v>
      </c>
      <c r="D32" s="555"/>
      <c r="E32" s="556">
        <v>54571.1</v>
      </c>
      <c r="F32" s="556"/>
      <c r="G32" s="31">
        <f t="shared" si="6"/>
        <v>13.12</v>
      </c>
      <c r="H32" s="559">
        <v>33272.73</v>
      </c>
      <c r="I32" s="559"/>
      <c r="J32" s="559"/>
      <c r="K32" s="152">
        <f t="shared" si="10"/>
        <v>468.5641399999999</v>
      </c>
      <c r="L32" s="152">
        <f t="shared" si="7"/>
        <v>468.5641399999999</v>
      </c>
      <c r="M32" s="152">
        <v>10314.43063</v>
      </c>
      <c r="N32" s="152">
        <f t="shared" si="8"/>
        <v>468.5641399999999</v>
      </c>
      <c r="O32" s="35"/>
      <c r="P32" s="558" t="s">
        <v>119</v>
      </c>
      <c r="Q32" s="558"/>
      <c r="R32" s="558"/>
      <c r="S32" s="142">
        <f t="shared" si="9"/>
        <v>1069.692</v>
      </c>
      <c r="T32" s="142">
        <f t="shared" si="5"/>
        <v>468.5641399999999</v>
      </c>
      <c r="U32" s="142"/>
      <c r="V32" s="142">
        <f>S32+T32</f>
        <v>1538.25614</v>
      </c>
      <c r="W32" s="146" t="e">
        <f>#REF!*(V32-#REF!)/1000</f>
        <v>#REF!</v>
      </c>
      <c r="X32" s="146" t="e">
        <f>W32+U32</f>
        <v>#REF!</v>
      </c>
      <c r="Y32" s="142">
        <v>1538.25614</v>
      </c>
      <c r="Z32" s="142">
        <v>1538.25614</v>
      </c>
    </row>
    <row r="33" spans="1:26" ht="15.75" customHeight="1">
      <c r="A33" s="32" t="s">
        <v>120</v>
      </c>
      <c r="B33" s="126"/>
      <c r="C33" s="555">
        <v>44</v>
      </c>
      <c r="D33" s="555"/>
      <c r="E33" s="556">
        <v>54571.1</v>
      </c>
      <c r="F33" s="556"/>
      <c r="G33" s="31">
        <f t="shared" si="6"/>
        <v>13.12</v>
      </c>
      <c r="H33" s="559">
        <v>30864.8</v>
      </c>
      <c r="I33" s="559"/>
      <c r="J33" s="559"/>
      <c r="K33" s="152">
        <f t="shared" si="10"/>
        <v>1043.0772</v>
      </c>
      <c r="L33" s="152">
        <f t="shared" si="7"/>
        <v>1043.0772</v>
      </c>
      <c r="M33" s="152">
        <v>10315.43063</v>
      </c>
      <c r="N33" s="152">
        <f t="shared" si="8"/>
        <v>1043.0772</v>
      </c>
      <c r="O33" s="35"/>
      <c r="P33" s="558" t="s">
        <v>120</v>
      </c>
      <c r="Q33" s="558"/>
      <c r="R33" s="558"/>
      <c r="S33" s="142">
        <f t="shared" si="9"/>
        <v>2158.6</v>
      </c>
      <c r="T33" s="142">
        <f t="shared" si="5"/>
        <v>1043.0772</v>
      </c>
      <c r="U33" s="142"/>
      <c r="V33" s="142">
        <f>S33+T33</f>
        <v>3201.6772</v>
      </c>
      <c r="W33" s="146" t="e">
        <f>#REF!*(V33-#REF!)/1000</f>
        <v>#REF!</v>
      </c>
      <c r="X33" s="146" t="e">
        <f>W33+U33</f>
        <v>#REF!</v>
      </c>
      <c r="Y33" s="142">
        <v>3201.6772</v>
      </c>
      <c r="Z33" s="142">
        <v>3201.6772</v>
      </c>
    </row>
    <row r="34" spans="1:26" s="117" customFormat="1" ht="21" customHeight="1">
      <c r="A34" s="134" t="s">
        <v>12</v>
      </c>
      <c r="B34" s="135"/>
      <c r="C34" s="563">
        <f>SUM(C25:D33)</f>
        <v>445</v>
      </c>
      <c r="D34" s="563"/>
      <c r="E34" s="564"/>
      <c r="F34" s="564"/>
      <c r="G34" s="131"/>
      <c r="H34" s="563"/>
      <c r="I34" s="563"/>
      <c r="J34" s="563"/>
      <c r="K34" s="153">
        <f>SUM(K25:K33)</f>
        <v>16901.81749</v>
      </c>
      <c r="L34" s="153">
        <f>SUM(L25:L33)</f>
        <v>16901.81749</v>
      </c>
      <c r="M34" s="153">
        <f>SUM(M25:M33)</f>
        <v>82491.44504</v>
      </c>
      <c r="N34" s="153">
        <f>SUM(N25:N33)</f>
        <v>16901.81749</v>
      </c>
      <c r="O34" s="120"/>
      <c r="P34" s="560" t="s">
        <v>12</v>
      </c>
      <c r="Q34" s="560"/>
      <c r="R34" s="560"/>
      <c r="S34" s="151">
        <f>SUM(S25:S33)</f>
        <v>19730.1468</v>
      </c>
      <c r="T34" s="151">
        <f>SUM(T25:T33)</f>
        <v>16226.373969999999</v>
      </c>
      <c r="U34" s="151">
        <f>SUM(U24:U33)</f>
        <v>0</v>
      </c>
      <c r="V34" s="151">
        <f>V25+V26+V27+V28+V29+V30+V31+V32+V33</f>
        <v>36631.964289999996</v>
      </c>
      <c r="W34" s="137" t="e">
        <f>SUM(W25:W33)</f>
        <v>#REF!</v>
      </c>
      <c r="X34" s="137" t="e">
        <f>SUM(X25:X33)</f>
        <v>#REF!</v>
      </c>
      <c r="Y34" s="151">
        <f>Y25+Y26+Y27+Y28+Y29+Y30+Y31+Y32+Y33</f>
        <v>36631.964289999996</v>
      </c>
      <c r="Z34" s="151">
        <f>Z25+Z26+Z27+Z28+Z29+Z30+Z31+Z32+Z33</f>
        <v>36631.964289999996</v>
      </c>
    </row>
  </sheetData>
  <sheetProtection/>
  <mergeCells count="82">
    <mergeCell ref="P32:R32"/>
    <mergeCell ref="P33:R33"/>
    <mergeCell ref="H34:J34"/>
    <mergeCell ref="E34:F34"/>
    <mergeCell ref="C34:D34"/>
    <mergeCell ref="A21:N21"/>
    <mergeCell ref="P21:V21"/>
    <mergeCell ref="P22:R23"/>
    <mergeCell ref="P25:R25"/>
    <mergeCell ref="P26:R26"/>
    <mergeCell ref="P34:R34"/>
    <mergeCell ref="P24:R24"/>
    <mergeCell ref="E33:F33"/>
    <mergeCell ref="H25:J25"/>
    <mergeCell ref="H26:J26"/>
    <mergeCell ref="H27:J27"/>
    <mergeCell ref="H28:J28"/>
    <mergeCell ref="H29:J29"/>
    <mergeCell ref="H30:J30"/>
    <mergeCell ref="H32:J32"/>
    <mergeCell ref="H33:J33"/>
    <mergeCell ref="H31:J31"/>
    <mergeCell ref="E29:F29"/>
    <mergeCell ref="E30:F30"/>
    <mergeCell ref="E31:F31"/>
    <mergeCell ref="E32:F32"/>
    <mergeCell ref="A1:Z1"/>
    <mergeCell ref="A2:Z2"/>
    <mergeCell ref="P28:R28"/>
    <mergeCell ref="P29:R29"/>
    <mergeCell ref="P30:R30"/>
    <mergeCell ref="P31:R31"/>
    <mergeCell ref="P27:R27"/>
    <mergeCell ref="E25:F25"/>
    <mergeCell ref="E26:F26"/>
    <mergeCell ref="E27:F27"/>
    <mergeCell ref="H24:J24"/>
    <mergeCell ref="E28:F28"/>
    <mergeCell ref="C32:D32"/>
    <mergeCell ref="C33:D33"/>
    <mergeCell ref="O7:Q7"/>
    <mergeCell ref="A7:A8"/>
    <mergeCell ref="C7:D7"/>
    <mergeCell ref="E7:F7"/>
    <mergeCell ref="H7:I7"/>
    <mergeCell ref="J7:K7"/>
    <mergeCell ref="C30:D30"/>
    <mergeCell ref="C31:D31"/>
    <mergeCell ref="C24:D24"/>
    <mergeCell ref="C22:D23"/>
    <mergeCell ref="E24:F24"/>
    <mergeCell ref="C25:D25"/>
    <mergeCell ref="C26:D26"/>
    <mergeCell ref="C27:D27"/>
    <mergeCell ref="C28:D28"/>
    <mergeCell ref="C29:D29"/>
    <mergeCell ref="A3:Z3"/>
    <mergeCell ref="A4:Z4"/>
    <mergeCell ref="U22:U23"/>
    <mergeCell ref="V22:V23"/>
    <mergeCell ref="V7:V8"/>
    <mergeCell ref="W7:W8"/>
    <mergeCell ref="L7:L8"/>
    <mergeCell ref="N7:N8"/>
    <mergeCell ref="A22:A23"/>
    <mergeCell ref="R7:R8"/>
    <mergeCell ref="T7:T8"/>
    <mergeCell ref="U7:U8"/>
    <mergeCell ref="S22:S23"/>
    <mergeCell ref="T22:T23"/>
    <mergeCell ref="E22:F23"/>
    <mergeCell ref="H22:J23"/>
    <mergeCell ref="Z7:Z8"/>
    <mergeCell ref="Z22:Z23"/>
    <mergeCell ref="K22:N22"/>
    <mergeCell ref="K24:N24"/>
    <mergeCell ref="Y7:Y8"/>
    <mergeCell ref="Y22:Y23"/>
    <mergeCell ref="X7:X8"/>
    <mergeCell ref="W22:W23"/>
    <mergeCell ref="X22:X23"/>
    <mergeCell ref="S7:S8"/>
  </mergeCells>
  <printOptions/>
  <pageMargins left="0.15748031496062992" right="0.15748031496062992" top="0.7086614173228347" bottom="0.2362204724409449" header="0.31496062992125984" footer="0.1968503937007874"/>
  <pageSetup fitToHeight="1" fitToWidth="1" horizontalDpi="600" verticalDpi="600" orientation="landscape" paperSize="9" scale="63" r:id="rId1"/>
  <rowBreaks count="1" manualBreakCount="1">
    <brk id="3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4.375" style="22" customWidth="1"/>
    <col min="2" max="2" width="19.75390625" style="22" customWidth="1"/>
    <col min="3" max="3" width="19.00390625" style="22" customWidth="1"/>
    <col min="4" max="4" width="14.625" style="22" customWidth="1"/>
    <col min="5" max="5" width="18.125" style="22" customWidth="1"/>
    <col min="6" max="6" width="15.375" style="22" customWidth="1"/>
    <col min="7" max="9" width="19.625" style="22" customWidth="1"/>
    <col min="10" max="16384" width="9.125" style="22" customWidth="1"/>
  </cols>
  <sheetData>
    <row r="1" spans="1:9" ht="19.5" customHeight="1">
      <c r="A1" s="569" t="s">
        <v>107</v>
      </c>
      <c r="B1" s="569"/>
      <c r="C1" s="569"/>
      <c r="D1" s="569"/>
      <c r="E1" s="569"/>
      <c r="F1" s="569"/>
      <c r="G1" s="569"/>
      <c r="H1" s="569"/>
      <c r="I1" s="569"/>
    </row>
    <row r="2" spans="1:9" s="24" customFormat="1" ht="36" customHeight="1">
      <c r="A2" s="568" t="s">
        <v>589</v>
      </c>
      <c r="B2" s="568"/>
      <c r="C2" s="568"/>
      <c r="D2" s="568"/>
      <c r="E2" s="568"/>
      <c r="F2" s="568"/>
      <c r="G2" s="568"/>
      <c r="H2" s="568"/>
      <c r="I2" s="568"/>
    </row>
    <row r="3" spans="1:7" s="24" customFormat="1" ht="23.25" customHeight="1">
      <c r="A3" s="567"/>
      <c r="B3" s="567"/>
      <c r="C3" s="567"/>
      <c r="D3" s="567"/>
      <c r="E3" s="567"/>
      <c r="F3" s="567"/>
      <c r="G3" s="567"/>
    </row>
    <row r="4" spans="1:3" s="24" customFormat="1" ht="12" customHeight="1">
      <c r="A4" s="26"/>
      <c r="B4" s="26"/>
      <c r="C4" s="26"/>
    </row>
    <row r="5" spans="4:9" ht="15">
      <c r="D5" s="23"/>
      <c r="G5" s="25"/>
      <c r="H5" s="25"/>
      <c r="I5" s="25" t="s">
        <v>30</v>
      </c>
    </row>
    <row r="6" spans="1:9" s="24" customFormat="1" ht="129" customHeight="1">
      <c r="A6" s="85" t="s">
        <v>4</v>
      </c>
      <c r="B6" s="86" t="s">
        <v>145</v>
      </c>
      <c r="C6" s="86" t="s">
        <v>146</v>
      </c>
      <c r="D6" s="86" t="s">
        <v>296</v>
      </c>
      <c r="E6" s="86" t="s">
        <v>221</v>
      </c>
      <c r="F6" s="61" t="s">
        <v>220</v>
      </c>
      <c r="G6" s="91" t="s">
        <v>297</v>
      </c>
      <c r="H6" s="91" t="s">
        <v>298</v>
      </c>
      <c r="I6" s="91" t="s">
        <v>327</v>
      </c>
    </row>
    <row r="7" spans="1:9" s="24" customFormat="1" ht="15.75">
      <c r="A7" s="66" t="s">
        <v>14</v>
      </c>
      <c r="B7" s="83">
        <v>1636.4</v>
      </c>
      <c r="C7" s="83">
        <v>1686.4</v>
      </c>
      <c r="D7" s="84">
        <v>50</v>
      </c>
      <c r="E7" s="84">
        <v>1686.4</v>
      </c>
      <c r="F7" s="84">
        <v>50</v>
      </c>
      <c r="G7" s="84">
        <v>1636.4</v>
      </c>
      <c r="H7" s="84">
        <v>1636.4</v>
      </c>
      <c r="I7" s="84">
        <v>1636.4</v>
      </c>
    </row>
    <row r="8" spans="1:9" s="24" customFormat="1" ht="15.75">
      <c r="A8" s="87" t="s">
        <v>113</v>
      </c>
      <c r="B8" s="83"/>
      <c r="C8" s="83"/>
      <c r="D8" s="84"/>
      <c r="E8" s="84"/>
      <c r="F8" s="84"/>
      <c r="G8" s="84"/>
      <c r="H8" s="84"/>
      <c r="I8" s="88"/>
    </row>
    <row r="9" spans="1:9" s="24" customFormat="1" ht="15.75">
      <c r="A9" s="87" t="s">
        <v>109</v>
      </c>
      <c r="B9" s="83"/>
      <c r="C9" s="83"/>
      <c r="D9" s="84"/>
      <c r="E9" s="84"/>
      <c r="F9" s="84"/>
      <c r="G9" s="84"/>
      <c r="H9" s="84"/>
      <c r="I9" s="84"/>
    </row>
    <row r="10" spans="1:9" s="24" customFormat="1" ht="15.75">
      <c r="A10" s="87" t="s">
        <v>116</v>
      </c>
      <c r="B10" s="83"/>
      <c r="C10" s="83"/>
      <c r="D10" s="84"/>
      <c r="E10" s="84"/>
      <c r="F10" s="84"/>
      <c r="G10" s="84"/>
      <c r="H10" s="84"/>
      <c r="I10" s="84"/>
    </row>
    <row r="11" spans="1:9" s="24" customFormat="1" ht="15.75">
      <c r="A11" s="87" t="s">
        <v>112</v>
      </c>
      <c r="B11" s="83"/>
      <c r="C11" s="83"/>
      <c r="D11" s="84"/>
      <c r="E11" s="84"/>
      <c r="F11" s="84"/>
      <c r="G11" s="84"/>
      <c r="H11" s="84"/>
      <c r="I11" s="84"/>
    </row>
    <row r="12" spans="1:9" s="24" customFormat="1" ht="15.75">
      <c r="A12" s="87" t="s">
        <v>117</v>
      </c>
      <c r="B12" s="83"/>
      <c r="C12" s="83"/>
      <c r="D12" s="84"/>
      <c r="E12" s="84"/>
      <c r="F12" s="84"/>
      <c r="G12" s="84"/>
      <c r="H12" s="84"/>
      <c r="I12" s="84"/>
    </row>
    <row r="13" spans="1:9" s="24" customFormat="1" ht="15.75">
      <c r="A13" s="87" t="s">
        <v>118</v>
      </c>
      <c r="B13" s="83"/>
      <c r="C13" s="83"/>
      <c r="D13" s="84"/>
      <c r="E13" s="84"/>
      <c r="F13" s="84"/>
      <c r="G13" s="84"/>
      <c r="H13" s="84"/>
      <c r="I13" s="84"/>
    </row>
    <row r="14" spans="1:9" s="24" customFormat="1" ht="15.75">
      <c r="A14" s="87" t="s">
        <v>119</v>
      </c>
      <c r="B14" s="83"/>
      <c r="C14" s="83"/>
      <c r="D14" s="84"/>
      <c r="E14" s="84"/>
      <c r="F14" s="84"/>
      <c r="G14" s="84"/>
      <c r="H14" s="84"/>
      <c r="I14" s="84"/>
    </row>
    <row r="15" spans="1:9" s="24" customFormat="1" ht="15.75">
      <c r="A15" s="87" t="s">
        <v>120</v>
      </c>
      <c r="B15" s="83"/>
      <c r="C15" s="83"/>
      <c r="D15" s="84"/>
      <c r="E15" s="84"/>
      <c r="F15" s="84"/>
      <c r="G15" s="84"/>
      <c r="H15" s="84"/>
      <c r="I15" s="84"/>
    </row>
    <row r="16" spans="1:9" s="24" customFormat="1" ht="16.5" customHeight="1">
      <c r="A16" s="89" t="s">
        <v>12</v>
      </c>
      <c r="B16" s="90">
        <f>SUM(B7:B15)</f>
        <v>1636.4</v>
      </c>
      <c r="C16" s="90">
        <f>SUM(C7:C15)</f>
        <v>1686.4</v>
      </c>
      <c r="D16" s="90">
        <f aca="true" t="shared" si="0" ref="D16:I16">SUM(D7:D15)</f>
        <v>50</v>
      </c>
      <c r="E16" s="90">
        <f t="shared" si="0"/>
        <v>1686.4</v>
      </c>
      <c r="F16" s="90">
        <f t="shared" si="0"/>
        <v>50</v>
      </c>
      <c r="G16" s="90">
        <f t="shared" si="0"/>
        <v>1636.4</v>
      </c>
      <c r="H16" s="90">
        <f t="shared" si="0"/>
        <v>1636.4</v>
      </c>
      <c r="I16" s="90">
        <f t="shared" si="0"/>
        <v>1636.4</v>
      </c>
    </row>
  </sheetData>
  <sheetProtection/>
  <mergeCells count="3">
    <mergeCell ref="A3:G3"/>
    <mergeCell ref="A2:I2"/>
    <mergeCell ref="A1:I1"/>
  </mergeCells>
  <printOptions horizontalCentered="1"/>
  <pageMargins left="0.3937007874015748" right="0.433070866141732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Швец Элина Александровна</cp:lastModifiedBy>
  <cp:lastPrinted>2017-11-28T02:34:54Z</cp:lastPrinted>
  <dcterms:created xsi:type="dcterms:W3CDTF">2002-04-21T04:23:27Z</dcterms:created>
  <dcterms:modified xsi:type="dcterms:W3CDTF">2017-11-29T00:49:20Z</dcterms:modified>
  <cp:category/>
  <cp:version/>
  <cp:contentType/>
  <cp:contentStatus/>
</cp:coreProperties>
</file>