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firstSheet="20" activeTab="30"/>
  </bookViews>
  <sheets>
    <sheet name="Субв КПДН" sheetId="1" r:id="rId1"/>
    <sheet name="опека-свод" sheetId="2" r:id="rId2"/>
    <sheet name="опека-минтруд" sheetId="3" r:id="rId3"/>
    <sheet name="опека-минобр" sheetId="4" r:id="rId4"/>
    <sheet name="кл. рук-во" sheetId="5" r:id="rId5"/>
    <sheet name="жилье дети-сир" sheetId="6" r:id="rId6"/>
    <sheet name="пед работники" sheetId="7" r:id="rId7"/>
    <sheet name="летн отдых" sheetId="8" r:id="rId8"/>
    <sheet name="автобус" sheetId="9" r:id="rId9"/>
    <sheet name="льготы ЖКХ (обр)" sheetId="10" r:id="rId10"/>
    <sheet name="обр процесс ДОУ" sheetId="11" r:id="rId11"/>
    <sheet name="обр процесс школы" sheetId="12" r:id="rId12"/>
    <sheet name="питание" sheetId="13" r:id="rId13"/>
    <sheet name="завтрак" sheetId="14" r:id="rId14"/>
    <sheet name="субв категория" sheetId="15" r:id="rId15"/>
    <sheet name="спорт" sheetId="16" r:id="rId16"/>
    <sheet name="присмотр ДОУ" sheetId="17" r:id="rId17"/>
    <sheet name="выезжающ" sheetId="18" r:id="rId18"/>
    <sheet name="повыш квал" sheetId="19" r:id="rId19"/>
    <sheet name="Лист3" sheetId="20" r:id="rId20"/>
    <sheet name="доппроф обр" sheetId="21" r:id="rId21"/>
    <sheet name="кадр резерв" sheetId="22" r:id="rId22"/>
    <sheet name="соц оринт" sheetId="23" r:id="rId23"/>
    <sheet name="гармониз" sheetId="24" r:id="rId24"/>
    <sheet name="почетн" sheetId="25" r:id="rId25"/>
    <sheet name="адм комис" sheetId="26" r:id="rId26"/>
    <sheet name="кадастр" sheetId="27" r:id="rId27"/>
    <sheet name="Загс" sheetId="28" r:id="rId28"/>
    <sheet name="военкомат" sheetId="29" r:id="rId29"/>
    <sheet name="ЖКУ культ" sheetId="30" r:id="rId30"/>
    <sheet name="библ дело" sheetId="31" r:id="rId31"/>
  </sheets>
  <definedNames>
    <definedName name="_xlnm.Print_Titles" localSheetId="17">'выезжающ'!$4:$4</definedName>
    <definedName name="_xlnm.Print_Titles" localSheetId="14">'субв категория'!$5:$6</definedName>
    <definedName name="_xlnm.Print_Area" localSheetId="7">'летн отдых'!$A$1:$Z$34</definedName>
    <definedName name="_xlnm.Print_Area" localSheetId="3">'опека-минобр'!$A$1:$Z$41</definedName>
    <definedName name="_xlnm.Print_Area" localSheetId="14">'субв категория'!$A$1:$S$179</definedName>
  </definedNames>
  <calcPr fullCalcOnLoad="1"/>
</workbook>
</file>

<file path=xl/comments13.xml><?xml version="1.0" encoding="utf-8"?>
<comments xmlns="http://schemas.openxmlformats.org/spreadsheetml/2006/main">
  <authors>
    <author>Автор</author>
  </authors>
  <commentList>
    <comment ref="K32" authorId="0">
      <text>
        <r>
          <rPr>
            <b/>
            <sz val="8"/>
            <rFont val="Tahoma"/>
            <family val="2"/>
          </rPr>
          <t>+6 УКП</t>
        </r>
      </text>
    </comment>
    <comment ref="K37" authorId="0">
      <text>
        <r>
          <rPr>
            <b/>
            <sz val="8"/>
            <rFont val="Tahoma"/>
            <family val="2"/>
          </rPr>
          <t>+20 инд.об.</t>
        </r>
      </text>
    </comment>
    <comment ref="J38" authorId="0">
      <text>
        <r>
          <rPr>
            <b/>
            <sz val="8"/>
            <rFont val="Tahoma"/>
            <family val="2"/>
          </rPr>
          <t xml:space="preserve">+18 инд.об.
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+3 инд.обуч.
</t>
        </r>
      </text>
    </comment>
    <comment ref="K39" authorId="0">
      <text>
        <r>
          <rPr>
            <b/>
            <sz val="8"/>
            <rFont val="Tahoma"/>
            <family val="2"/>
          </rPr>
          <t>+1 инд.об.</t>
        </r>
      </text>
    </comment>
    <comment ref="J40" authorId="0">
      <text>
        <r>
          <rPr>
            <b/>
            <sz val="8"/>
            <rFont val="Tahoma"/>
            <family val="2"/>
          </rPr>
          <t>+7 инд.об.</t>
        </r>
      </text>
    </comment>
    <comment ref="K40" authorId="0">
      <text>
        <r>
          <rPr>
            <b/>
            <sz val="8"/>
            <rFont val="Tahoma"/>
            <family val="2"/>
          </rPr>
          <t>+9 инд.об.</t>
        </r>
      </text>
    </comment>
    <comment ref="K55" authorId="0">
      <text>
        <r>
          <rPr>
            <b/>
            <sz val="8"/>
            <rFont val="Tahoma"/>
            <family val="2"/>
          </rPr>
          <t>+15 УКП</t>
        </r>
      </text>
    </comment>
    <comment ref="K57" authorId="0">
      <text>
        <r>
          <rPr>
            <b/>
            <sz val="8"/>
            <rFont val="Tahoma"/>
            <family val="2"/>
          </rPr>
          <t>+23 УКП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C44" authorId="0">
      <text>
        <r>
          <rPr>
            <b/>
            <sz val="8"/>
            <rFont val="Tahoma"/>
            <family val="2"/>
          </rPr>
          <t>588 пед.р</t>
        </r>
      </text>
    </comment>
    <comment ref="E44" authorId="0">
      <text>
        <r>
          <rPr>
            <b/>
            <sz val="8"/>
            <rFont val="Tahoma"/>
            <family val="2"/>
          </rPr>
          <t>720 пед.р.</t>
        </r>
      </text>
    </comment>
    <comment ref="C45" authorId="0">
      <text>
        <r>
          <rPr>
            <b/>
            <sz val="8"/>
            <rFont val="Tahoma"/>
            <family val="2"/>
          </rPr>
          <t xml:space="preserve">53 пед.р
</t>
        </r>
      </text>
    </comment>
    <comment ref="E45" authorId="0">
      <text>
        <r>
          <rPr>
            <b/>
            <sz val="8"/>
            <rFont val="Tahoma"/>
            <family val="2"/>
          </rPr>
          <t>120 пед.р</t>
        </r>
      </text>
    </comment>
    <comment ref="C46" authorId="0">
      <text>
        <r>
          <rPr>
            <b/>
            <sz val="8"/>
            <rFont val="Tahoma"/>
            <family val="2"/>
          </rPr>
          <t>42 пед.р</t>
        </r>
      </text>
    </comment>
    <comment ref="E46" authorId="0">
      <text>
        <r>
          <rPr>
            <b/>
            <sz val="8"/>
            <rFont val="Tahoma"/>
            <family val="2"/>
          </rPr>
          <t>49 пед.р</t>
        </r>
      </text>
    </comment>
    <comment ref="C47" authorId="0">
      <text>
        <r>
          <rPr>
            <b/>
            <sz val="8"/>
            <rFont val="Tahoma"/>
            <family val="2"/>
          </rPr>
          <t>16 пед.р</t>
        </r>
      </text>
    </comment>
    <comment ref="E47" authorId="0">
      <text>
        <r>
          <rPr>
            <b/>
            <sz val="8"/>
            <rFont val="Tahoma"/>
            <family val="2"/>
          </rPr>
          <t>35 пед.р</t>
        </r>
      </text>
    </comment>
    <comment ref="C48" authorId="0">
      <text>
        <r>
          <rPr>
            <b/>
            <sz val="8"/>
            <rFont val="Tahoma"/>
            <family val="2"/>
          </rPr>
          <t>19 пед.р</t>
        </r>
      </text>
    </comment>
    <comment ref="E48" authorId="0">
      <text>
        <r>
          <rPr>
            <b/>
            <sz val="8"/>
            <rFont val="Tahoma"/>
            <family val="2"/>
          </rPr>
          <t>32 пед.р</t>
        </r>
      </text>
    </comment>
    <comment ref="C49" authorId="0">
      <text>
        <r>
          <rPr>
            <b/>
            <sz val="8"/>
            <rFont val="Tahoma"/>
            <family val="2"/>
          </rPr>
          <t>29 пед.р</t>
        </r>
      </text>
    </comment>
    <comment ref="E49" authorId="0">
      <text>
        <r>
          <rPr>
            <b/>
            <sz val="8"/>
            <rFont val="Tahoma"/>
            <family val="2"/>
          </rPr>
          <t>62 пед.р.</t>
        </r>
      </text>
    </comment>
    <comment ref="C50" authorId="0">
      <text>
        <r>
          <rPr>
            <b/>
            <sz val="8"/>
            <rFont val="Tahoma"/>
            <family val="2"/>
          </rPr>
          <t>31 пед.р</t>
        </r>
      </text>
    </comment>
    <comment ref="E50" authorId="0">
      <text>
        <r>
          <rPr>
            <b/>
            <sz val="8"/>
            <rFont val="Tahoma"/>
            <family val="2"/>
          </rPr>
          <t>49 пед.р</t>
        </r>
      </text>
    </comment>
    <comment ref="C51" authorId="0">
      <text>
        <r>
          <rPr>
            <b/>
            <sz val="8"/>
            <rFont val="Tahoma"/>
            <family val="2"/>
          </rPr>
          <t>32 пед.р</t>
        </r>
      </text>
    </comment>
    <comment ref="E51" authorId="0">
      <text>
        <r>
          <rPr>
            <b/>
            <sz val="8"/>
            <rFont val="Tahoma"/>
            <family val="2"/>
          </rPr>
          <t>69 пед.р</t>
        </r>
      </text>
    </comment>
    <comment ref="C52" authorId="0">
      <text>
        <r>
          <rPr>
            <b/>
            <sz val="8"/>
            <rFont val="Tahoma"/>
            <family val="2"/>
          </rPr>
          <t>37 пед.р</t>
        </r>
      </text>
    </comment>
    <comment ref="E52" authorId="0">
      <text>
        <r>
          <rPr>
            <b/>
            <sz val="8"/>
            <rFont val="Tahoma"/>
            <family val="2"/>
          </rPr>
          <t>84 пед.р</t>
        </r>
      </text>
    </comment>
  </commentList>
</comments>
</file>

<file path=xl/comments18.xml><?xml version="1.0" encoding="utf-8"?>
<comments xmlns="http://schemas.openxmlformats.org/spreadsheetml/2006/main">
  <authors>
    <author>Nnn</author>
    <author>Тарабарка Наталья Георгиевна</author>
  </authors>
  <commentList>
    <comment ref="A7" authorId="0">
      <text>
        <r>
          <rPr>
            <b/>
            <sz val="8"/>
            <rFont val="Tahoma"/>
            <family val="2"/>
          </rPr>
          <t>Nnn:</t>
        </r>
        <r>
          <rPr>
            <sz val="8"/>
            <rFont val="Tahoma"/>
            <family val="2"/>
          </rPr>
          <t xml:space="preserve">
свыше трех тысяч граждан - 1 ставка главного специалиста и 2 ставки ведущего специалиста;
свыше одной тысячи граждан - 1 ставка главного специалиста;
менее одной тысячи граждан - 0,5 ставки главного специалиста.
Для муниципальных образований, в которых имеются населенные пункты, признанные закрывающимися по согласованию с Правительством Российской Федерации, независимо от количества граждан, состоящих на учете, предусматривается 1 ставка главного специалиста и 1 ставка ведущего специалиста.</t>
        </r>
      </text>
    </comment>
    <comment ref="A65" authorId="0">
      <text>
        <r>
          <rPr>
            <b/>
            <sz val="8"/>
            <rFont val="Tahoma"/>
            <family val="2"/>
          </rPr>
          <t>Nnn:</t>
        </r>
        <r>
          <rPr>
            <sz val="8"/>
            <rFont val="Tahoma"/>
            <family val="2"/>
          </rPr>
          <t xml:space="preserve">
5 тыс.руб - бумага, и 75
 рублей на одну семью состоящюю в очереди (одно личное учетное дело)</t>
        </r>
      </text>
    </comment>
    <comment ref="A73" authorId="1">
      <text>
        <r>
          <rPr>
            <b/>
            <sz val="9"/>
            <rFont val="Tahoma"/>
            <family val="2"/>
          </rPr>
          <t xml:space="preserve">Цифры округленные
</t>
        </r>
      </text>
    </comment>
    <comment ref="A74" authorId="1">
      <text>
        <r>
          <rPr>
            <b/>
            <sz val="9"/>
            <rFont val="Tahoma"/>
            <family val="2"/>
          </rPr>
          <t xml:space="preserve">Цифры округленные
</t>
        </r>
      </text>
    </comment>
  </commentList>
</comments>
</file>

<file path=xl/sharedStrings.xml><?xml version="1.0" encoding="utf-8"?>
<sst xmlns="http://schemas.openxmlformats.org/spreadsheetml/2006/main" count="1256" uniqueCount="557">
  <si>
    <t>Ольский район</t>
  </si>
  <si>
    <t>Северо-Эвенский район</t>
  </si>
  <si>
    <t>Среднеканский район</t>
  </si>
  <si>
    <t>Вид расходов</t>
  </si>
  <si>
    <t>Наименование муниципального образования</t>
  </si>
  <si>
    <t>Омсукчанский район</t>
  </si>
  <si>
    <t>Тенькинский район</t>
  </si>
  <si>
    <t>Хасынский район</t>
  </si>
  <si>
    <t>Ягоднинский район</t>
  </si>
  <si>
    <t>РАСЧЕТ</t>
  </si>
  <si>
    <t>Город Магадан</t>
  </si>
  <si>
    <t>Сусуманский район</t>
  </si>
  <si>
    <t>Всего:</t>
  </si>
  <si>
    <t>в том числе:</t>
  </si>
  <si>
    <t>г. Магадан</t>
  </si>
  <si>
    <t>ИТОГО:</t>
  </si>
  <si>
    <t>ВСЕГО</t>
  </si>
  <si>
    <t>Количество несовершеннолетних детей</t>
  </si>
  <si>
    <t>свыше 1500</t>
  </si>
  <si>
    <t>от 800 до 1500</t>
  </si>
  <si>
    <t>менее 800</t>
  </si>
  <si>
    <t>Численность специалистов комиссии, всего</t>
  </si>
  <si>
    <t xml:space="preserve">главный специалист </t>
  </si>
  <si>
    <t xml:space="preserve">ведущий специалист </t>
  </si>
  <si>
    <t>заведующий сектором</t>
  </si>
  <si>
    <t>заведующий сектор-заместитель председателя комиссии</t>
  </si>
  <si>
    <t>Объем субвенции муниципальному образованию (Zi), тыс. рублей</t>
  </si>
  <si>
    <t>дополнительные  средства</t>
  </si>
  <si>
    <t>Объем субвенции муниципальному образованию 2015 год</t>
  </si>
  <si>
    <t>Объем субвенции муниципальному образованию 2017 год</t>
  </si>
  <si>
    <t>тыс. рублей</t>
  </si>
  <si>
    <t>Наименование МО</t>
  </si>
  <si>
    <t>г.Магадан</t>
  </si>
  <si>
    <t>Итого:</t>
  </si>
  <si>
    <t>Расчет субвенций</t>
  </si>
  <si>
    <t>на организацию и осуществление деятельности по опеке совершеннолетних лиц, признанных судом недееспособными вследствие психического рассторойства, а также по попечительству в отношении совершеннолетних лиц, ограниченным судом в дееспособности вследствии злоупотребления спиртными напиткамии или наркотическими средствами</t>
  </si>
  <si>
    <t>численность специа-листов                                                            (чел.)</t>
  </si>
  <si>
    <t>Размер ставки специалиста</t>
  </si>
  <si>
    <t xml:space="preserve">Размер  должностного оклада </t>
  </si>
  <si>
    <t>Сумма доплаты районного коэффициента  и процентной надбавки к заработной плате работников организаций, расположенных на территории Магаданской области</t>
  </si>
  <si>
    <t>Размер оплаты труда с учетом ежемесячных дополнительных выплат с учетом районного коэффициента  и процентной надбавки</t>
  </si>
  <si>
    <t>Размер оплаты труда с учетом размера занимаемой ставки</t>
  </si>
  <si>
    <t>Размер оплаты труда с учетом численности специалистов</t>
  </si>
  <si>
    <t>Расчет годового фонда зар.платы (руб.)</t>
  </si>
  <si>
    <t>H</t>
  </si>
  <si>
    <t>Si</t>
  </si>
  <si>
    <t>О</t>
  </si>
  <si>
    <t>ОК₁</t>
  </si>
  <si>
    <t>К₂=(О+ОК₁)</t>
  </si>
  <si>
    <t xml:space="preserve"> Si</t>
  </si>
  <si>
    <t>Н</t>
  </si>
  <si>
    <t>К</t>
  </si>
  <si>
    <t>г.Магадан, в том числе</t>
  </si>
  <si>
    <t xml:space="preserve">     консультант</t>
  </si>
  <si>
    <t xml:space="preserve">     главный специалист</t>
  </si>
  <si>
    <t xml:space="preserve">     ведущий специалист</t>
  </si>
  <si>
    <t>Сумма средств на предоставление работникам гарантий и компенсаций, установленных статьями 168 и 325 ТК РФ (КОСГУ 212, 222, 226)</t>
  </si>
  <si>
    <t>Сумма средств, предусмотренная на оплату услуг связи (КОСГУ 221)</t>
  </si>
  <si>
    <t>Сумма средств, предусмотренная на оплату коммунальных услуг (КОСГУ 223)</t>
  </si>
  <si>
    <t>Сумма средств, предусмотренная на оплату услуг по содержанию имущества (КОСГУ 225)</t>
  </si>
  <si>
    <t>Сумма средств, предусмотренная на оплату прочих услуг (КОСГУ 226)</t>
  </si>
  <si>
    <t>Сумма средств, предусмотренная на приобретение основных средств (КОСГУ 310) и материальных запасов (КОСГУ 340)</t>
  </si>
  <si>
    <t>Итого годовой объём субвенции (рублей)</t>
  </si>
  <si>
    <t>G</t>
  </si>
  <si>
    <t>C</t>
  </si>
  <si>
    <t>Q</t>
  </si>
  <si>
    <t>P</t>
  </si>
  <si>
    <t>M</t>
  </si>
  <si>
    <t>Z</t>
  </si>
  <si>
    <t>Vci</t>
  </si>
  <si>
    <t>Наименование районов</t>
  </si>
  <si>
    <t>Наименование должности</t>
  </si>
  <si>
    <t>N</t>
  </si>
  <si>
    <t>K1</t>
  </si>
  <si>
    <t>K2</t>
  </si>
  <si>
    <t>Итого</t>
  </si>
  <si>
    <t>И того</t>
  </si>
  <si>
    <t>K</t>
  </si>
  <si>
    <t>R</t>
  </si>
  <si>
    <t>размер должност-ного оклада (руб.)</t>
  </si>
  <si>
    <t xml:space="preserve">ежемесяч-ные и иные дополни-тельные выплаты </t>
  </si>
  <si>
    <t>размер р/коэф. и % надбавки (руб.)</t>
  </si>
  <si>
    <t>числен-ность специа-листов                                                            (чел.)</t>
  </si>
  <si>
    <t>в месяц</t>
  </si>
  <si>
    <t>ФОТ на 12 месяцев</t>
  </si>
  <si>
    <t>на 3 мес             (окт-дек)</t>
  </si>
  <si>
    <t>размер страховых взносов</t>
  </si>
  <si>
    <t>ФОТ с начисл-ми на январь-декабрь (руб.)</t>
  </si>
  <si>
    <t>ФОТ с начисл-ми в год (тыс.руб)</t>
  </si>
  <si>
    <t>КОСГУ 212, 222, 224, 290</t>
  </si>
  <si>
    <t>КОСГУ 221</t>
  </si>
  <si>
    <t>КОСГУ 223</t>
  </si>
  <si>
    <t>КОСГУ 225</t>
  </si>
  <si>
    <t>КОСГУ 226</t>
  </si>
  <si>
    <t>КОСГУ 310,340</t>
  </si>
  <si>
    <t>Начальник отдела</t>
  </si>
  <si>
    <t>Зам. начальника</t>
  </si>
  <si>
    <t>Главный специалист</t>
  </si>
  <si>
    <t>Ведущий специалист</t>
  </si>
  <si>
    <t>Специалист I кат.</t>
  </si>
  <si>
    <t>Водитель</t>
  </si>
  <si>
    <t>Консультант</t>
  </si>
  <si>
    <t xml:space="preserve">Расчет </t>
  </si>
  <si>
    <t>тыс. руб.</t>
  </si>
  <si>
    <t xml:space="preserve">РАСЧЕТ </t>
  </si>
  <si>
    <t>ФОТ на 01.08.09 в месяц</t>
  </si>
  <si>
    <t>всего</t>
  </si>
  <si>
    <t>Расчет</t>
  </si>
  <si>
    <t>Среднеканский городской  округ</t>
  </si>
  <si>
    <t>Омсукчанский городской округ</t>
  </si>
  <si>
    <t>Омсукчанский  городской  округ</t>
  </si>
  <si>
    <t>Долностной оклад (N), тыс. рублей</t>
  </si>
  <si>
    <t>Среднеканский городской округ</t>
  </si>
  <si>
    <t>Ольский городской округ</t>
  </si>
  <si>
    <t>Количество дней в одну смену (n)</t>
  </si>
  <si>
    <t>2-ух разовое питание</t>
  </si>
  <si>
    <t>Северо-Эвенский городской округ</t>
  </si>
  <si>
    <t>Сусуманский городской округ</t>
  </si>
  <si>
    <t>Тенькинский городской округ</t>
  </si>
  <si>
    <t>Хасынский городской округ</t>
  </si>
  <si>
    <t>Ягоднинский городской округ</t>
  </si>
  <si>
    <t>Стоимость питания одного дня пребывания, руб. (с)</t>
  </si>
  <si>
    <t>Стоимость медикаментов в день, руб. (m)</t>
  </si>
  <si>
    <t>2-х разовое питание</t>
  </si>
  <si>
    <t>3-х разовое питание</t>
  </si>
  <si>
    <t>Расходы на оплату путевок в лагерях с дневным пребыванием, тыс. руб. (D)</t>
  </si>
  <si>
    <t>Размер стоимости страхования, руб. (s)</t>
  </si>
  <si>
    <t>Численность детей, чел. (k)</t>
  </si>
  <si>
    <t>Стоимость культурно-массовых и спортивных мероприятий в день, руб. (t)</t>
  </si>
  <si>
    <t>Стоимость питания одного дня пребыания, руб. (с)</t>
  </si>
  <si>
    <t>Объем субсидии бюджету i-го муниципаьного образования на организацию отдыха детей в каникулярное время (S1)</t>
  </si>
  <si>
    <t>Объем субсидии бюджету i-го муниципального образования на частичное возмещение расходов по оплате труда педагогическим работникам лагерей с дневным пребыванием (S2)</t>
  </si>
  <si>
    <t>S1 + S2</t>
  </si>
  <si>
    <t>Числен-ность детей, чел. (k)</t>
  </si>
  <si>
    <t>Расходы на оплату путевок в однодневных походах, тыс. руб. (Р)</t>
  </si>
  <si>
    <t>1. Объем субсидии из областного бюджета бюджетам муниципальных образований на организацию отдыха детей в каникулярное время (S1):</t>
  </si>
  <si>
    <t>государственной программы Магаданской области "Развитие образования в Магаданской области на 2014-2020 годы"</t>
  </si>
  <si>
    <t xml:space="preserve">в рамках подпрограммы "Организация и обеспечение отдыха и оздоровление детей в Магаданской области" на 2014-2020 годы" </t>
  </si>
  <si>
    <t>Количество педагогических работников лагерей с дневным пребыванием, чел. (k)</t>
  </si>
  <si>
    <t>Средняя ежемесячная плата педагогических работников лагерей с дневным пребыванием, руб.(m)</t>
  </si>
  <si>
    <t>Ежемесячный размер оплаты труда за счет средств местного бюджета муниципального образования на оплату труда педагогическим работникам лагерей с дневным пребыванием детей, руб. (n)</t>
  </si>
  <si>
    <t>2. Объем субсидии из областного бюджета бюджетам муниципальных образований на частичное возмещение расходов по оплате труда педегогическим работникам лагерей с дневным пребыванием детей (S2):</t>
  </si>
  <si>
    <t>Объем субсидии из областного бюджета бюджетам муниципальных образований на частичное возмещение расходов по оплате труда педегогическим работникам лагерей с дневным пребыванием детей (S2):</t>
  </si>
  <si>
    <t>3. Общий объем субсидии бюджетам муниципальных образований на организацию отдыха и оздоровление детей в лашерях дневного пребывания</t>
  </si>
  <si>
    <t>Утверждено на 2016г</t>
  </si>
  <si>
    <t>Общий объем субсидий, предоставляемых бюджетам муниципальных образований в текущем году (Si)</t>
  </si>
  <si>
    <t>Объем средств, необходимый  i-му муниципальному образованию по заявке (Q)</t>
  </si>
  <si>
    <t>ФОТ</t>
  </si>
  <si>
    <t>ФМО</t>
  </si>
  <si>
    <t>СОШ п. Дукат</t>
  </si>
  <si>
    <t>СОШ п. Омчак</t>
  </si>
  <si>
    <t>СОШ п. Талая</t>
  </si>
  <si>
    <t>СОШ п. Дебин</t>
  </si>
  <si>
    <t>Количество обучающихся в муниципальных образовательных организациях, расположенных в городской местности, чел. (Kri)</t>
  </si>
  <si>
    <t>Количество обучающихся муниципальных образовательных организаций, расположенных в сельской местности, чел. (Kci)</t>
  </si>
  <si>
    <t>Наполняемость в классе не менее наполняемости, установленной для образовательных организаций в соответствии с порядком организации и осуществления образовательной деятельности по соответствующим образовательным программам, чел. (H)</t>
  </si>
  <si>
    <t>Наполняемость в классе 14 и более человек в образовательных организациях, расположенных в сельской местности, чел. (M)</t>
  </si>
  <si>
    <t>Размер ежемесячного вознаграждения за классное руководиство в классе с наполняемостью не менее наполняемости, установленной для образовательных организаций порядком организации и осуществелния образовательной деятельности по соответствующим образовательным программам, либо в классе с нанаполняемостью 14 и более человек в образовательных организациях, расположенных в сельской местности, руб. (1000 руб.)</t>
  </si>
  <si>
    <t>Коэффициентт, учитывающий размер районного коэффициента и процентной надбавки к заработной плате работников организаций, расположенных на территории Магаданской области, (k1)</t>
  </si>
  <si>
    <t>Коэффициент, учитывающий размер отчислений по страховым взносам на обязательное пенсионное страхование, на обязательное медицинское 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(k2)</t>
  </si>
  <si>
    <t>Количество месяцев в году, (12)</t>
  </si>
  <si>
    <t>Численность педагогических работников муниципальных дошокльных образовательных организаций, муниципальных организаций дополнительного образования, муниципальных общеобразовательных организаций муниципального образования, чел. (Ni)</t>
  </si>
  <si>
    <t>Коэффициент, учитывающий районный коэффициент и процентные надбавки к заработной плате за работу в районах Крайнего Севера, (k)</t>
  </si>
  <si>
    <t>Коэффициент, учитывающий размер страховых взносов в Пенсионный фонд Российской Федерации на обязательное пенсионное страхование, Федеральный фонд обязательного медицинского страхования и территориальные фонды обязательного медицинского страхования на обязательное медицинское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заболеваний, (t)</t>
  </si>
  <si>
    <t>Доплата в размере 1047 рублей, тыс. руб. ®</t>
  </si>
  <si>
    <t>Ягоднинский гордской округ</t>
  </si>
  <si>
    <t>Численность учащихся, чел.</t>
  </si>
  <si>
    <t>ОШ-1 на 2014-2015гг (без ОСОШ, УКП)</t>
  </si>
  <si>
    <t>отчет охваченных пит.</t>
  </si>
  <si>
    <t>Численность учащихся, охваченных горячим питанием, чел.</t>
  </si>
  <si>
    <t>Средний % охвата гор.пит.</t>
  </si>
  <si>
    <t>Численность учащихся, охваченных горячим питанием, чел. (n1, n2)</t>
  </si>
  <si>
    <t>Размер ср-в на обесп-е пит. на 1-го уч-ся, руб. (p1, p2)</t>
  </si>
  <si>
    <t>Утверждено на 2015г (Действующие)</t>
  </si>
  <si>
    <t>Отклонение (+ избыток; - недостат.)</t>
  </si>
  <si>
    <t xml:space="preserve">Общий объем субсидии в 2017 году </t>
  </si>
  <si>
    <t xml:space="preserve">Общий объем субсидии в 2018 году </t>
  </si>
  <si>
    <t>в 1-4 кл</t>
  </si>
  <si>
    <t>в 5-11 кл</t>
  </si>
  <si>
    <t xml:space="preserve">всего  </t>
  </si>
  <si>
    <t>в 1-4 кл (n1)</t>
  </si>
  <si>
    <t>в 5-11 кл (n2)</t>
  </si>
  <si>
    <t>в 1-4 кл (p1)</t>
  </si>
  <si>
    <t>в 5-11 кл (p2)</t>
  </si>
  <si>
    <t>МКОУ "СОШ п. Ола"</t>
  </si>
  <si>
    <t>МКОУ "СОШ п. Армань"</t>
  </si>
  <si>
    <t>МКОУ "СОШ с. Клепка"</t>
  </si>
  <si>
    <t>МКОУ "СОШ с. Тауйск"</t>
  </si>
  <si>
    <t>МКОУ "ООШ с. Талон"</t>
  </si>
  <si>
    <t>МКОУ "ООШ с. Тахтоямск"</t>
  </si>
  <si>
    <t>МКОУ "Н/ш - Д/С с. Гадля"</t>
  </si>
  <si>
    <t>МКОУ "Н/Ш - Д/С с. Балаганное"</t>
  </si>
  <si>
    <t>МКОУ "НОШ с. Ямск"</t>
  </si>
  <si>
    <t>СОШ п. Омсукчан</t>
  </si>
  <si>
    <t>ООШ п. Омсукчан</t>
  </si>
  <si>
    <t>МБОШИ п. Эвенск</t>
  </si>
  <si>
    <t>МКОУ " СОШ с. Гижига"</t>
  </si>
  <si>
    <t>МКОУ "Н/Ш-Д/С с. Гарманда"</t>
  </si>
  <si>
    <t>МКОУ "Н/Ш-Д/С с. Тополовка"</t>
  </si>
  <si>
    <t>МКОУ "Н/Ш-Д/С с. В. Парень"</t>
  </si>
  <si>
    <t>СОШ п. Сеймчан</t>
  </si>
  <si>
    <t>СОШ с. В.Сеймчан</t>
  </si>
  <si>
    <t>МБОУ "Лицей г. Сусуман"</t>
  </si>
  <si>
    <t>МБОУ "СОШ № 1 г. Сусуман"</t>
  </si>
  <si>
    <t>МБОУ "НОШ г.Сусуман"</t>
  </si>
  <si>
    <t>МБОУ "ООШ п. Холодный"</t>
  </si>
  <si>
    <t>МБОУ "ООШ п. Мяунджа"</t>
  </si>
  <si>
    <t>СОШ п. Усть-Омчуг</t>
  </si>
  <si>
    <t>СОШ № 1</t>
  </si>
  <si>
    <t>СОШ № 2</t>
  </si>
  <si>
    <t>СОШ п. Стекольный</t>
  </si>
  <si>
    <t>СОШ п.Атка</t>
  </si>
  <si>
    <t>Н/ш-д/с п. Хасын</t>
  </si>
  <si>
    <t>СОШ п. Ягодное</t>
  </si>
  <si>
    <t>НОШ п. Ягодное</t>
  </si>
  <si>
    <t>СОШ п. Синегорье</t>
  </si>
  <si>
    <t>СОШ п. Оротукан</t>
  </si>
  <si>
    <t>Н/ш-д/с п. Бурхала</t>
  </si>
  <si>
    <t>Численность учащихся по предварительному комплектованию, чел.</t>
  </si>
  <si>
    <t>Уровень софинансироования i-го муниципального образования (Qi)</t>
  </si>
  <si>
    <t>Общий объем уровня софинансирования муниципальными образованиями (Oi)</t>
  </si>
  <si>
    <t>Общий объем средств, необходимый муниципальным образованиям по заявке(O)</t>
  </si>
  <si>
    <t>Субсидии бюджетам муниципальных образований на частичное возмещение расходов по присмотру и уходу за детьми с ограниченными возможностями здоровья, обучающимися в дошкольных образовательных организациях (S)</t>
  </si>
  <si>
    <t>Дополнительные выплаты работникам муниципальных образовательных организаций</t>
  </si>
  <si>
    <t>Числ-ть работников всего</t>
  </si>
  <si>
    <t>в том числе</t>
  </si>
  <si>
    <t xml:space="preserve">Размер доплаты </t>
  </si>
  <si>
    <t>Районный коэф-т, процентные надбавки</t>
  </si>
  <si>
    <t>Отчисления по страх. взносам</t>
  </si>
  <si>
    <t>Общий объем субвенции в 2016 году</t>
  </si>
  <si>
    <t>Общий объем субвенции в 2017 году</t>
  </si>
  <si>
    <t>Общий объем субвенции в 2018 году</t>
  </si>
  <si>
    <t>Дошк. образ. орг-ии</t>
  </si>
  <si>
    <t xml:space="preserve">Организации доп. образ-я детей </t>
  </si>
  <si>
    <t>Общеобр. орг-ии</t>
  </si>
  <si>
    <t>S1i = p * Ni</t>
  </si>
  <si>
    <t>Ni</t>
  </si>
  <si>
    <t>p</t>
  </si>
  <si>
    <t>Единовременное пособие при выходе на пенсию</t>
  </si>
  <si>
    <t>S2i = r * Ni * t</t>
  </si>
  <si>
    <t xml:space="preserve">r </t>
  </si>
  <si>
    <t>t</t>
  </si>
  <si>
    <t>Единовременное пособие молодому специалисту при заключении трудового договора с муниципальной образовательной организацией</t>
  </si>
  <si>
    <t>S3i = ((q1 * Ni1 * k) + (q2 * Ni2 * k) + (q3 * Ni3 * k)) * t *12</t>
  </si>
  <si>
    <t>N1, N2, N3</t>
  </si>
  <si>
    <t>q1, q2, q3</t>
  </si>
  <si>
    <t>k</t>
  </si>
  <si>
    <t>Ежемесячная доплата за соответствующую квалификационную категорию:</t>
  </si>
  <si>
    <t>- высшую</t>
  </si>
  <si>
    <t>- первую</t>
  </si>
  <si>
    <t>-вторую</t>
  </si>
  <si>
    <t>S4i = h * Ni * k * t * 12</t>
  </si>
  <si>
    <t>h</t>
  </si>
  <si>
    <t>Ежемесячная доплата педагогическим работникам, имеющим звание «Почетный работник образования Магаданской области»</t>
  </si>
  <si>
    <t>S5i = h * Ni * k * t * 12</t>
  </si>
  <si>
    <t>Ежемесячная доплата педагогическим работникам, окончившим образовательные организации высшего образования или профессиональные образовательные организации с отличием (до получения квал.кат.,но не более первых 3 лет работы)</t>
  </si>
  <si>
    <t>S6i = h * Ni * k * t * 12</t>
  </si>
  <si>
    <t>Ежемесячная доплата педагогическим работникам, окончившим образовательные организации высшего образования или профессиональные образовательные организации (до получения квал.кат.,но не более первых 3 лет работы)</t>
  </si>
  <si>
    <t>S7i = ((h1 * Ni1 * k) + (h2 * Ni2 * k)) * t * 12</t>
  </si>
  <si>
    <t>Ni1, Ni1</t>
  </si>
  <si>
    <t>h1, h1</t>
  </si>
  <si>
    <t>Ежемесячная доплата лицам,  в образовательной организации, удаленной от административного центра Магаданской области, замещающим должность:</t>
  </si>
  <si>
    <t>- библиотекарь</t>
  </si>
  <si>
    <t xml:space="preserve">- заведующий библиотекой </t>
  </si>
  <si>
    <t>S8i = ((h1 * Ni1 * k) + (h2 * Ni2 * k) + (h3 * Ni3 * k)) * t * 12</t>
  </si>
  <si>
    <t>Ni1, Ni2, Ni3</t>
  </si>
  <si>
    <t>h1, h2, h3</t>
  </si>
  <si>
    <t>- младшего медицинского персонала</t>
  </si>
  <si>
    <t>- среднего медицинского персонала</t>
  </si>
  <si>
    <t>- врачебного персонала</t>
  </si>
  <si>
    <t>факт 2014</t>
  </si>
  <si>
    <t>Всего на 2018 год</t>
  </si>
  <si>
    <t>Всего на 2019 год</t>
  </si>
  <si>
    <t xml:space="preserve">Vнi                                        2017 год </t>
  </si>
  <si>
    <t xml:space="preserve">Vнi                                        2018 год </t>
  </si>
  <si>
    <t xml:space="preserve">Vнi                                        2019 год </t>
  </si>
  <si>
    <t>Коэффициент, устанавливающий ежемесячные и иные дополнительные выплаты, установленные в соответствии с законодательством Российской Федерации, законодательством Магаданской области и нормативными правовыми актами органов местного самоуправления для муниципальных служащих, а также размер районного коэффициента и процентной надбавки к заработной плате работников организаций, расположенных на территории Магаданской области, (К)</t>
  </si>
  <si>
    <t>Коэффициент, учитывающий размер страховых взносов в Пенсионный фонд Российской Федерации на обязательное пенсионное страхование, Федеральный фонд обязательного медицинского страхования и территориальные фонды обязательного медицинского страхования на обязательное медицинское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заболеваний, (К1)</t>
  </si>
  <si>
    <t>Расходы на оплату коммунальных услуг с учетом площади занимаемого учреждения, (V)</t>
  </si>
  <si>
    <t xml:space="preserve">Услуги на содержание имущества, (В)                  </t>
  </si>
  <si>
    <t>Оплата услуг связи, исходя из абоненской платы в месяц и дополнительных ежемесячных затрат на междугородние переговоры, (С)</t>
  </si>
  <si>
    <t>Объем средств на оплату прочих расходов, (М)</t>
  </si>
  <si>
    <t>Объем средств на приобретение материальных запасов, полученный расчетным путем с учетом количества специалистов, (Р)</t>
  </si>
  <si>
    <t>Расходы на предоставление работникам гарантий и компенсаций, установленных статьями 168 и 325 Трудового кодекса Российской Федерации, (G)</t>
  </si>
  <si>
    <t>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 (далее - деятельность по опеке и попечительству совершеннолетних лиц), Vсi</t>
  </si>
  <si>
    <t>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и попечительству над несовершеннолетними, Vнi</t>
  </si>
  <si>
    <t xml:space="preserve">Общий 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и попечительству, Voi </t>
  </si>
  <si>
    <t>2018 год</t>
  </si>
  <si>
    <t>2019 год</t>
  </si>
  <si>
    <t>Размер субвенции, предоставляемой бюджету i-го муниципального образования на 2018 год (Cpi)</t>
  </si>
  <si>
    <t>Размер субвенции, предоставляемой бюджету i-го муниципального образования на 2019 год (Cpi)</t>
  </si>
  <si>
    <t>Объем субвенции (Si), 2018 год</t>
  </si>
  <si>
    <t>Объем субвенции (Si), 2019 год</t>
  </si>
  <si>
    <t>Объем субсидии муниципальному образования на организацию отдыха детей в каникулярное время, тыс. рублей (S1) на 2017 год</t>
  </si>
  <si>
    <t>Общий объем субсидии бюджетам муниципальных образований на организацию отдыха и оздоровление детей в лашерях дневного пребывания, тыс. рублей (S3) на 2018 год</t>
  </si>
  <si>
    <t>Общий объем субсидии бюджетам муниципальных образований на организацию отдыха и оздоровление детей в лашерях дневного пребывания, тыс. рублей (S3) на 2019 год</t>
  </si>
  <si>
    <t>Объем субсидии из областного бюджета бюджетам муниципальных образований на частичное возмещение расходов по оплате труда педагогическим работникам лагерей с дневным пребыванием детей (S2) на 2017 год</t>
  </si>
  <si>
    <t>Итого годовой объём субвенции (тыс. рублей) на 2018 год</t>
  </si>
  <si>
    <t>ИТОГО</t>
  </si>
  <si>
    <t>субсидий бюджетам городских округов на приобретение школьных автобусов в рамках реализации подпрограммы «Развитие общего образования в Магаданской области» на 2014-2020 годы» государственной программы "Развитие образования в Магаданской области" на 1014-2020 годы"</t>
  </si>
  <si>
    <t>Уровень софинансирования i-го муниципального образования (Qi)</t>
  </si>
  <si>
    <t>Субсидии из областного бюджета, предоставляемые бюджету муниципального образования (S), 2018 год</t>
  </si>
  <si>
    <t>Субсидии из областного бюджета, предоставляемые бюджету муниципального образования (S), 2019 год</t>
  </si>
  <si>
    <t>Примечание: в данной субсидии учитывается численность только тех обучающихся, которые охваченны горячим питанием.</t>
  </si>
  <si>
    <t>Количество учебных дней в году, дн. (d)</t>
  </si>
  <si>
    <t>Объем субсидии i-го муниципального образования на совершенствование питаия учащихся в общеобразовательных организациях в 2018 год, тыс. руб. (S)</t>
  </si>
  <si>
    <t>Объем субсидии i-го муниципального образования на совершенствование питаия учащихся в общеобразовательных организациях в 2019 год, тыс. руб. (S)</t>
  </si>
  <si>
    <t>субсидий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</si>
  <si>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Наименование городского округа</t>
  </si>
  <si>
    <t>Общий объем субсидий, предоставляемых бюджетам  муниципальных образований в текущем году  (Si)</t>
  </si>
  <si>
    <t>Объем средств, необходимый i-му муниципальному образованию по заявке (Q)</t>
  </si>
  <si>
    <t>Уровень софинансирования i-го муниципального образования (Qi)*</t>
  </si>
  <si>
    <t>Общий объем средств, необходимый муниципальным образованиям по заявке (О)</t>
  </si>
  <si>
    <t>Общий объем уровня софинансирования муниципальными образованиями (Оi)</t>
  </si>
  <si>
    <t>Общий объем субсидий в 2017 году</t>
  </si>
  <si>
    <t xml:space="preserve">Общий объем субсидий в 2018 году </t>
  </si>
  <si>
    <t>* - предварительный объем софинансирования</t>
  </si>
  <si>
    <t>субсидий бюджетам городских округов на питание (завтрак или полдник) детей из многодетных семей, обучающихся в общеобразовательных организациях, в рамках реализации подпрограммы «Развитие общего образования в Магаданской области» на 2014-2020 годы» государственной программы "Развитие образования в Магаданской области" на 1014-2020 годы"</t>
  </si>
  <si>
    <t>Объем субсидии из областного бюджета, предоставляемой бюджету  i-го муниципального образования  (S), 2018 год</t>
  </si>
  <si>
    <t>Объем субсидии из областного бюджета, предоставляемой бюджету  i-го муниципального образования  (S), 2019 год</t>
  </si>
  <si>
    <t xml:space="preserve">Объем субсидии муниципальному образования на организацию отдыха детей в каникулярное время, тыс. рублей (S1) </t>
  </si>
  <si>
    <t>Общий объем субвенции в 2019 году</t>
  </si>
  <si>
    <t>Муниципальные образования</t>
  </si>
  <si>
    <t>Численность граждан, имеющих право на получение мер социальной поддержки по оплате жилья и коммунальных услуг  (чел.) (Ч)</t>
  </si>
  <si>
    <t>Площадь жилья, занимаемая получателем  мер социальной поддержке по j-му муниципальному образованию Магаданской области (Hsr)</t>
  </si>
  <si>
    <t>Прогнозный тариф жилищных (найм,содержание и ремонт жилья) и коммунальных (отопление, освещение) услуг на 1 кв.м общей площади жилья в месяц (руб.) (Cj)</t>
  </si>
  <si>
    <t>Количество месяцев</t>
  </si>
  <si>
    <t>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</si>
  <si>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>Объем иных межбюджетных трансфертов на возмещение расходов по предоставлению мер социальной поддержки по оплате жилья и коммунальных услуг отдельным категориям граждан, проживающих на территории Магаданской области, по J- му муниципальному образованию Магаданской области (Sj) в 2018 году</t>
  </si>
  <si>
    <t>Объем иных межбюджетных трансфертов на возмещение расходов по предоставлению мер социальной поддержки по оплате жилья и коммунальных услуг отдельным категориям граждан, проживающих на территории Магаданской области, по J- му муниципальному образованию Магаданской области (Sj) в 2019 году</t>
  </si>
  <si>
    <t>Объем иных межбюджетных трансфертов на возмещение расходов по предоставлению мер социальной поддержки по оплате жилья и коммунальных услуг отдельным категориям граждан, проживающих на территории Магаданской области, по J- му муниципальному образованию Магаданской области (Sj) в 2020 году</t>
  </si>
  <si>
    <t>Субсидии из областного бюджета, предоставляемые бюджету муниципального образования (S), 2020 год</t>
  </si>
  <si>
    <t>Общий объем субсидии бюджетам муниципальных образований на организацию отдыха и оздоровление детей в лашерях дневного пребывания, тыс. рублей (S3) на 2020 год</t>
  </si>
  <si>
    <t>2020 год</t>
  </si>
  <si>
    <t>Объем субсидии i-го муниципального образования на совершенствование питаия учащихся в общеобразовательных организациях в 2020 год, тыс. руб. (S)</t>
  </si>
  <si>
    <t>Объем субсидии из областного бюджета, предоставляемой бюджету  i-го муниципального образования  (S), 2020 год</t>
  </si>
  <si>
    <t>Размер субвенции, предоставляемой бюджету i-го муниципального образования на 2020 год (Cpi)</t>
  </si>
  <si>
    <t>Количество воспитанников, чел.</t>
  </si>
  <si>
    <t>Норматив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одного воспитанника, тыс. рублей</t>
  </si>
  <si>
    <t>Размер субвенции, предоставляемой бюджету I-го муниципального образования на 2018 год</t>
  </si>
  <si>
    <t>Размер субвенции, предоставляемой бюджету I-го муниципального образования на 2019 год</t>
  </si>
  <si>
    <t>Размер субвенции, предоставляемой бюджету I-го муниципального образования на 2020 год</t>
  </si>
  <si>
    <t>дошкольная группа общеразвивающей и комбинированной направленносим</t>
  </si>
  <si>
    <t>дошкольная группа компенсирующей и оздоровительной направленносим</t>
  </si>
  <si>
    <t>Средняя величина в год</t>
  </si>
  <si>
    <t xml:space="preserve">Средняя величина в год </t>
  </si>
  <si>
    <t>Ольский городской округ,</t>
  </si>
  <si>
    <t>Сусуманский  городской округ</t>
  </si>
  <si>
    <t xml:space="preserve">Тенькинский городской округ, </t>
  </si>
  <si>
    <t>субвенций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</si>
  <si>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х</t>
  </si>
  <si>
    <t>Количество обучающихся, воспитанников, чел.</t>
  </si>
  <si>
    <t>общеобразовательная школа</t>
  </si>
  <si>
    <t>лицей, гимназия, школа с углубленным изучением отдельных предметов</t>
  </si>
  <si>
    <t>общеобразовательная школа с дистанционным обучением</t>
  </si>
  <si>
    <t>открытая (сменная) общеобразовательная школа</t>
  </si>
  <si>
    <t>начальная школа - детский сад</t>
  </si>
  <si>
    <t>Норматив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одного обучающегося, воспитанника</t>
  </si>
  <si>
    <t>общеобразовательная школа-интернат</t>
  </si>
  <si>
    <t>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</si>
  <si>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субвенций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</si>
  <si>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Общий объем субвенции в 2020 году</t>
  </si>
  <si>
    <t>Объем субвенции (Si), 2020 год</t>
  </si>
  <si>
    <t>субвенций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</si>
  <si>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>Всего на 2020 год</t>
  </si>
  <si>
    <r>
      <t>субвенций бюджетам городских округов на организацию и осуществление деятельности по опеке совершеннолетних лиц, признанных судом недееспособными вследствие психического рассторойства, а также по попечительству в отношении совершеннолетних лиц, ограниченным судом в дееспособности вследствии злоупотребления спиртными напиткамии или наркотическими средствами в рамк</t>
    </r>
    <r>
      <rPr>
        <u val="single"/>
        <sz val="15"/>
        <rFont val="Times New Roman"/>
        <family val="1"/>
      </rPr>
      <t>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  </r>
  </si>
  <si>
    <r>
      <t>(</t>
    </r>
    <r>
      <rPr>
        <u val="single"/>
        <sz val="15"/>
        <rFont val="Times New Roman"/>
        <family val="1"/>
      </rPr>
      <t>Министерство труда и социальной политики Магаданской области)</t>
    </r>
  </si>
  <si>
    <t>Сумма ежемесячных дополнительных выплат, установленных в соответствии с законодательством РФ и Магаданской области для муниципальных служащих (КОСГУ 211)</t>
  </si>
  <si>
    <t>Сумма страховых взносов в Пенсионный фонд РФ на обязательное пенсионное страхование, ФФ ОМС, ТРФ ОМС, ФСС, страховые взносы на обязательное социальное страхование о несчастных случаев на производстве и несчастных заболеваний; (КОСГУ 213)</t>
  </si>
  <si>
    <t>Итого годовой объём субвенции (тыс. рублей) на 2019 год</t>
  </si>
  <si>
    <t>Итого годовой объём субвенции (тыс. рублей) на 2020 год</t>
  </si>
  <si>
    <t>субвенций бюджетам городских округов на осуществление государственных полномочий по организации</t>
  </si>
  <si>
    <t>и осуществлению деятельности органов опеки и попечительства</t>
  </si>
  <si>
    <t xml:space="preserve">субвенций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
</t>
  </si>
  <si>
    <t>норма предоставления жилья, кв.м.</t>
  </si>
  <si>
    <t>расчетная норма жилья, кв.м.</t>
  </si>
  <si>
    <t>стоимость 1 кв.м., тыс. руб.</t>
  </si>
  <si>
    <t>администрирование 1 чел., тыс. руб.</t>
  </si>
  <si>
    <t>расходы на администрирование</t>
  </si>
  <si>
    <t>расходы на приобретение жилья</t>
  </si>
  <si>
    <t>численность детей-сирот, чел.</t>
  </si>
  <si>
    <t>Объем субвенции, 2018 год</t>
  </si>
  <si>
    <t>Объем субвенции, 2019 год</t>
  </si>
  <si>
    <t>Объем субвенции, 2020 год</t>
  </si>
  <si>
    <t>субвенций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</si>
  <si>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 xml:space="preserve">субсидий бюджетам городских округов на частичное возмещение расходов по присмотру и уходу за детьми с ограниченными возможностями здоровья, обучающимся в дошкольных образовательных организациях, в рамках реализации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</si>
  <si>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</t>
  </si>
  <si>
    <t>2018-2020 годы</t>
  </si>
  <si>
    <t>Размер субвенции, выделяемой Магаданской области на осуществление полномочий по первичному воинскому учету на территориях, где отсутствуют военные комиссариаты, тыс. рублей, Vmo</t>
  </si>
  <si>
    <t>Общее кол-во ставок военно-учетных работников в органе местного самоуправления, ед., Nmo</t>
  </si>
  <si>
    <t>Кол-во ставок военно-учетных работников в органе местного самоуправления, ед., Ni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</si>
  <si>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2018 год тыс. рублей, Vi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</si>
  <si>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2019 год тыс. рублей, Vi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</si>
  <si>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2020 год тыс. рублей, Vi</t>
  </si>
  <si>
    <t>Среднеканский  городской  округ</t>
  </si>
  <si>
    <t>Количество граждан, состоящих на первичном воинском учете, чел.</t>
  </si>
  <si>
    <t>Норматив численности работников, осуществляющих полномочия по первичному воинскому учету, ед.</t>
  </si>
  <si>
    <t>(тыс.руб)</t>
  </si>
  <si>
    <t>Стоимость образовательных услуг (S1)</t>
  </si>
  <si>
    <t>Количество лиц,подлежащих обучению (S2)</t>
  </si>
  <si>
    <t>Объем субсидии (S)</t>
  </si>
  <si>
    <t>субсидий бюджетам городских окугов, предоставляемых в рамках подпрограммы "Развитие государственной гражданской службы и муниципальной службы в Магаданской области " на 2017-2021 годы"  государственной программы " Развитие системы государственного и муниципального управления и профилактика коррупции в Магаданской области " на 2017-2021 годы"</t>
  </si>
  <si>
    <t xml:space="preserve"> субсидий бюджетам городских округов, предоставляемых в рамках подпрограммы "Формирование и подготовка резерва управленческих кадров Магаданской области" на 2017-2021 годы"  государственной  программы " Развитие системы государственного и муниципального управления и профилактика коррупции в Магаданской области " на 2017-2021 годы"</t>
  </si>
  <si>
    <t>Общий объем субсидий (С)</t>
  </si>
  <si>
    <t>Количество социально ориентированных некоммерческих организаций, включенных в реестр социально ориентированных некоммерческих организаций - получателей поддержки из средств областного бюджета в текущем году (К)</t>
  </si>
  <si>
    <t>Объем средств для предоставления субсидии (Смо)</t>
  </si>
  <si>
    <t>город Магадан</t>
  </si>
  <si>
    <t>субсидий бюджетам городских округов, предоставляемых в рамках подпрограммы "О поддержке социально ориентированных некоммерческих организаций в Магаданской области" на 2015-2020 годы"  государственной  программы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 " на 2015-2020 годы"</t>
  </si>
  <si>
    <t xml:space="preserve"> субсидий бюджетам городских округов, предоставляемых в рамках подпрограммы 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 государственной  программы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 " на 2015-2020 годы"</t>
  </si>
  <si>
    <t>Количество соц. ориентированных некоммерческих организаций, включенных в реестр соц. ориентированных некоммерческих организаций - получателей поддержки из средств областного бюджета в текущем году (К)</t>
  </si>
  <si>
    <t>Расчет субвенций бюджетам городских округов 
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2016-2020 годы»</t>
  </si>
  <si>
    <t>(тыс. рублей)</t>
  </si>
  <si>
    <t>Всего по городским округам</t>
  </si>
  <si>
    <t xml:space="preserve">Омсукчанский городской округ </t>
  </si>
  <si>
    <t xml:space="preserve">Сусуманский городской округ </t>
  </si>
  <si>
    <t xml:space="preserve">Тенькинский городской округ </t>
  </si>
  <si>
    <t xml:space="preserve">Хасынский городской округ </t>
  </si>
  <si>
    <t>Пимечание</t>
  </si>
  <si>
    <t>Количество ставок специалистов административной комиссии ( R )</t>
  </si>
  <si>
    <t>Должностной оклад, предусмотренный законодательством и соответствующий ставке ведущего специалиста (N)</t>
  </si>
  <si>
    <t>Коэффициент, учитывающий выплаты ежемесячных надбавок, надбавок за выслугу лет, классный чин и премию муниципальных служащих, предусмотренный действующим законодательством (K1)</t>
  </si>
  <si>
    <t>Коэффициент, учитывающий размер районного коэффициента и процентной надбавки к заработной плате за работу в районах Крайнего Севера (К2)</t>
  </si>
  <si>
    <t>Страховые взносы в Пенсионный фонд Российской Федерации, Фонд социального страхования Российской Федерации, Федеральный фонд обязательного медицинского страхования, предусмотренные действующим законодательством (L)</t>
  </si>
  <si>
    <t>Расходы на оплату коммунальных услуг с учетом площади занимаемого учреждения (V), тыс. рублей</t>
  </si>
  <si>
    <t>Расходы  на содержание имущества (В), тыс. рублей</t>
  </si>
  <si>
    <t>Оплата услуг связи, исходя из абоненской платы в месяц и дополнительных ежемесячных затрат на междугородние переговоры (С), тыс. рублей</t>
  </si>
  <si>
    <t>Объем средств на оплату прочих расходов (М), тыс. рублей</t>
  </si>
  <si>
    <t>Объем средств на приобретение материальных запасов, полученный расчетным путем с учетом количества специалистов (Р), тыс. рублей</t>
  </si>
  <si>
    <t>Расходы на предоставление работникам гарантий и компенсаций, установленных статьями 168 и 325 Трудового кодекса Российской Федерации  (G),  тыс.  рублей</t>
  </si>
  <si>
    <t>Объем субвенции городскому округу 2018 год</t>
  </si>
  <si>
    <t>Объем субвенции городскому округу 2019 год</t>
  </si>
  <si>
    <t>Объем субвенции городскому округу 2020 год</t>
  </si>
  <si>
    <t xml:space="preserve"> субсидий бюджетам городских округов на проведение кадастровых работ в отношении земельных участков, планируемых к выделению гражданам, имеющим трех и более детей в рамках реализации подпрограммы «Обеспечение мер социальной поддержки отдельных категорий граждан» на 2016-2020 годы» государственной программы Магаданской области «Развитие социальной защиты населения Магаданской области» на 2014-2020 годы»</t>
  </si>
  <si>
    <t>Наименование гордского округа</t>
  </si>
  <si>
    <t xml:space="preserve">Количество граждан, имеющих трех и более детей, изъявивших желание на получение земельного участка в собственность бесплатно на территории муниципального образования </t>
  </si>
  <si>
    <t>Общее количество граждан, состоящих на учете в реестре граждан, состоящих на учете для предоставления земельного участка в собственность бесплатно</t>
  </si>
  <si>
    <t>Общий объем денежных средств, предусмотренных в областном бюджете на очередной финансовый год на предоставление субсидий на проведение кадастровых работ в отношении земельных участков, планируемых к выделению гражданам, имеющим трех и более детей</t>
  </si>
  <si>
    <t>Размер субсидии, 2018 год (тыс. рублей)</t>
  </si>
  <si>
    <t>Размер субсидии, 2019 год (тыс. рублей)</t>
  </si>
  <si>
    <t>Размер субсидии, 2020 год (тыс. рублей)</t>
  </si>
  <si>
    <t>А-Количество зарегистрированных актов гражданского состояния за 2016 год</t>
  </si>
  <si>
    <t xml:space="preserve">Ю-кол-во иных юр. значимых действий, соверш. органами, уполномоч произв гос. регист. актов граж. состояния за 2016 год </t>
  </si>
  <si>
    <t>Сi                     Размер субвенций на 2019 г.       (тыс.руб)</t>
  </si>
  <si>
    <t>Северо Эвенский городской округ</t>
  </si>
  <si>
    <r>
      <t>К</t>
    </r>
    <r>
      <rPr>
        <vertAlign val="subscript"/>
        <sz val="12"/>
        <color indexed="8"/>
        <rFont val="Times New Roman"/>
        <family val="1"/>
      </rPr>
      <t>i   средний  коэффициент  сложности   регистрированных  действий</t>
    </r>
  </si>
  <si>
    <r>
      <t>К</t>
    </r>
    <r>
      <rPr>
        <vertAlign val="subscript"/>
        <sz val="12"/>
        <color indexed="8"/>
        <rFont val="Times New Roman"/>
        <family val="1"/>
      </rPr>
      <t xml:space="preserve">ia </t>
    </r>
  </si>
  <si>
    <r>
      <t>К</t>
    </r>
    <r>
      <rPr>
        <vertAlign val="subscript"/>
        <sz val="12"/>
        <color indexed="8"/>
        <rFont val="Times New Roman"/>
        <family val="1"/>
      </rPr>
      <t>iю</t>
    </r>
  </si>
  <si>
    <r>
      <t>А</t>
    </r>
    <r>
      <rPr>
        <vertAlign val="subscript"/>
        <sz val="12"/>
        <color indexed="8"/>
        <rFont val="Times New Roman"/>
        <family val="1"/>
      </rPr>
      <t>р</t>
    </r>
  </si>
  <si>
    <r>
      <t>А</t>
    </r>
    <r>
      <rPr>
        <vertAlign val="subscript"/>
        <sz val="12"/>
        <color indexed="8"/>
        <rFont val="Times New Roman"/>
        <family val="1"/>
      </rPr>
      <t>б</t>
    </r>
  </si>
  <si>
    <r>
      <t>А</t>
    </r>
    <r>
      <rPr>
        <vertAlign val="subscript"/>
        <sz val="12"/>
        <color indexed="8"/>
        <rFont val="Times New Roman"/>
        <family val="1"/>
      </rPr>
      <t>рб</t>
    </r>
  </si>
  <si>
    <r>
      <t>А</t>
    </r>
    <r>
      <rPr>
        <vertAlign val="subscript"/>
        <sz val="12"/>
        <color indexed="8"/>
        <rFont val="Times New Roman"/>
        <family val="1"/>
      </rPr>
      <t>у</t>
    </r>
  </si>
  <si>
    <r>
      <t>А</t>
    </r>
    <r>
      <rPr>
        <vertAlign val="subscript"/>
        <sz val="12"/>
        <color indexed="8"/>
        <rFont val="Times New Roman"/>
        <family val="1"/>
      </rPr>
      <t>уо</t>
    </r>
  </si>
  <si>
    <r>
      <t>А</t>
    </r>
    <r>
      <rPr>
        <vertAlign val="subscript"/>
        <sz val="12"/>
        <color indexed="8"/>
        <rFont val="Times New Roman"/>
        <family val="1"/>
      </rPr>
      <t>пи</t>
    </r>
  </si>
  <si>
    <r>
      <t>А</t>
    </r>
    <r>
      <rPr>
        <vertAlign val="subscript"/>
        <sz val="12"/>
        <color indexed="8"/>
        <rFont val="Times New Roman"/>
        <family val="1"/>
      </rPr>
      <t xml:space="preserve">с </t>
    </r>
  </si>
  <si>
    <r>
      <t>Ю</t>
    </r>
    <r>
      <rPr>
        <vertAlign val="subscript"/>
        <sz val="12"/>
        <color indexed="8"/>
        <rFont val="Times New Roman"/>
        <family val="1"/>
      </rPr>
      <t xml:space="preserve">рзпр </t>
    </r>
  </si>
  <si>
    <r>
      <t>Ю</t>
    </r>
    <r>
      <rPr>
        <vertAlign val="subscript"/>
        <sz val="12"/>
        <color indexed="8"/>
        <rFont val="Times New Roman"/>
        <family val="1"/>
      </rPr>
      <t>визм</t>
    </r>
    <r>
      <rPr>
        <sz val="12"/>
        <color indexed="8"/>
        <rFont val="Times New Roman"/>
        <family val="1"/>
      </rPr>
      <t xml:space="preserve"> </t>
    </r>
  </si>
  <si>
    <r>
      <t>Ю</t>
    </r>
    <r>
      <rPr>
        <vertAlign val="subscript"/>
        <sz val="12"/>
        <color indexed="8"/>
        <rFont val="Times New Roman"/>
        <family val="1"/>
      </rPr>
      <t>ан</t>
    </r>
  </si>
  <si>
    <r>
      <t>Ю</t>
    </r>
    <r>
      <rPr>
        <vertAlign val="subscript"/>
        <sz val="12"/>
        <color indexed="8"/>
        <rFont val="Times New Roman"/>
        <family val="1"/>
      </rPr>
      <t>повт</t>
    </r>
  </si>
  <si>
    <r>
      <t>Ю</t>
    </r>
    <r>
      <rPr>
        <vertAlign val="subscript"/>
        <sz val="12"/>
        <color indexed="8"/>
        <rFont val="Times New Roman"/>
        <family val="1"/>
      </rPr>
      <t>спр</t>
    </r>
  </si>
  <si>
    <r>
      <t>Ю</t>
    </r>
    <r>
      <rPr>
        <vertAlign val="subscript"/>
        <sz val="12"/>
        <color indexed="8"/>
        <rFont val="Times New Roman"/>
        <family val="1"/>
      </rPr>
      <t>истр</t>
    </r>
  </si>
  <si>
    <r>
      <t>Ю</t>
    </r>
    <r>
      <rPr>
        <vertAlign val="subscript"/>
        <sz val="12"/>
        <color indexed="8"/>
        <rFont val="Times New Roman"/>
        <family val="1"/>
      </rPr>
      <t>дрб</t>
    </r>
  </si>
  <si>
    <r>
      <t>Ю</t>
    </r>
    <r>
      <rPr>
        <vertAlign val="subscript"/>
        <sz val="12"/>
        <color indexed="8"/>
        <rFont val="Times New Roman"/>
        <family val="1"/>
      </rPr>
      <t>ап</t>
    </r>
  </si>
  <si>
    <r>
      <t>Ю</t>
    </r>
    <r>
      <rPr>
        <vertAlign val="subscript"/>
        <sz val="12"/>
        <color indexed="8"/>
        <rFont val="Times New Roman"/>
        <family val="1"/>
      </rPr>
      <t>отк</t>
    </r>
  </si>
  <si>
    <r>
      <t>Ю</t>
    </r>
    <r>
      <rPr>
        <vertAlign val="subscript"/>
        <sz val="12"/>
        <color indexed="8"/>
        <rFont val="Times New Roman"/>
        <family val="1"/>
      </rPr>
      <t>отм</t>
    </r>
  </si>
  <si>
    <r>
      <t>К</t>
    </r>
    <r>
      <rPr>
        <vertAlign val="subscript"/>
        <sz val="12"/>
        <color indexed="8"/>
        <rFont val="Times New Roman"/>
        <family val="1"/>
      </rPr>
      <t>р</t>
    </r>
  </si>
  <si>
    <r>
      <t>К</t>
    </r>
    <r>
      <rPr>
        <vertAlign val="subscript"/>
        <sz val="12"/>
        <color indexed="8"/>
        <rFont val="Times New Roman"/>
        <family val="1"/>
      </rPr>
      <t>б</t>
    </r>
  </si>
  <si>
    <r>
      <t>К</t>
    </r>
    <r>
      <rPr>
        <vertAlign val="subscript"/>
        <sz val="12"/>
        <color indexed="8"/>
        <rFont val="Times New Roman"/>
        <family val="1"/>
      </rPr>
      <t>рб</t>
    </r>
  </si>
  <si>
    <r>
      <t>К</t>
    </r>
    <r>
      <rPr>
        <vertAlign val="subscript"/>
        <sz val="12"/>
        <color indexed="8"/>
        <rFont val="Times New Roman"/>
        <family val="1"/>
      </rPr>
      <t>у</t>
    </r>
  </si>
  <si>
    <r>
      <t>К</t>
    </r>
    <r>
      <rPr>
        <vertAlign val="subscript"/>
        <sz val="12"/>
        <color indexed="8"/>
        <rFont val="Times New Roman"/>
        <family val="1"/>
      </rPr>
      <t>уо</t>
    </r>
  </si>
  <si>
    <r>
      <t>К</t>
    </r>
    <r>
      <rPr>
        <vertAlign val="subscript"/>
        <sz val="12"/>
        <color indexed="8"/>
        <rFont val="Times New Roman"/>
        <family val="1"/>
      </rPr>
      <t>пи</t>
    </r>
    <r>
      <rPr>
        <sz val="12"/>
        <color indexed="8"/>
        <rFont val="Times New Roman"/>
        <family val="1"/>
      </rPr>
      <t xml:space="preserve"> </t>
    </r>
  </si>
  <si>
    <r>
      <t>К</t>
    </r>
    <r>
      <rPr>
        <vertAlign val="subscript"/>
        <sz val="12"/>
        <color indexed="8"/>
        <rFont val="Times New Roman"/>
        <family val="1"/>
      </rPr>
      <t>с</t>
    </r>
  </si>
  <si>
    <r>
      <t>К</t>
    </r>
    <r>
      <rPr>
        <vertAlign val="subscript"/>
        <sz val="12"/>
        <color indexed="8"/>
        <rFont val="Times New Roman"/>
        <family val="1"/>
      </rPr>
      <t>рзпр</t>
    </r>
  </si>
  <si>
    <r>
      <t>К</t>
    </r>
    <r>
      <rPr>
        <vertAlign val="subscript"/>
        <sz val="12"/>
        <color indexed="8"/>
        <rFont val="Times New Roman"/>
        <family val="1"/>
      </rPr>
      <t xml:space="preserve">визм </t>
    </r>
  </si>
  <si>
    <r>
      <t>К</t>
    </r>
    <r>
      <rPr>
        <vertAlign val="subscript"/>
        <sz val="12"/>
        <color indexed="8"/>
        <rFont val="Times New Roman"/>
        <family val="1"/>
      </rPr>
      <t>ан</t>
    </r>
  </si>
  <si>
    <r>
      <t>К</t>
    </r>
    <r>
      <rPr>
        <vertAlign val="subscript"/>
        <sz val="12"/>
        <color indexed="8"/>
        <rFont val="Times New Roman"/>
        <family val="1"/>
      </rPr>
      <t>повт</t>
    </r>
  </si>
  <si>
    <r>
      <t>К</t>
    </r>
    <r>
      <rPr>
        <vertAlign val="subscript"/>
        <sz val="12"/>
        <color indexed="8"/>
        <rFont val="Times New Roman"/>
        <family val="1"/>
      </rPr>
      <t>спр</t>
    </r>
  </si>
  <si>
    <r>
      <t>К</t>
    </r>
    <r>
      <rPr>
        <vertAlign val="subscript"/>
        <sz val="12"/>
        <color indexed="8"/>
        <rFont val="Times New Roman"/>
        <family val="1"/>
      </rPr>
      <t>истр</t>
    </r>
  </si>
  <si>
    <r>
      <t>К</t>
    </r>
    <r>
      <rPr>
        <vertAlign val="subscript"/>
        <sz val="12"/>
        <color indexed="8"/>
        <rFont val="Times New Roman"/>
        <family val="1"/>
      </rPr>
      <t>дрб</t>
    </r>
    <r>
      <rPr>
        <sz val="12"/>
        <color indexed="8"/>
        <rFont val="Times New Roman"/>
        <family val="1"/>
      </rPr>
      <t xml:space="preserve"> </t>
    </r>
  </si>
  <si>
    <r>
      <t>К</t>
    </r>
    <r>
      <rPr>
        <vertAlign val="subscript"/>
        <sz val="12"/>
        <color indexed="8"/>
        <rFont val="Times New Roman"/>
        <family val="1"/>
      </rPr>
      <t>ап</t>
    </r>
  </si>
  <si>
    <r>
      <t>К</t>
    </r>
    <r>
      <rPr>
        <vertAlign val="subscript"/>
        <sz val="12"/>
        <color indexed="8"/>
        <rFont val="Times New Roman"/>
        <family val="1"/>
      </rPr>
      <t>ОТК</t>
    </r>
  </si>
  <si>
    <r>
      <t>К</t>
    </r>
    <r>
      <rPr>
        <vertAlign val="subscript"/>
        <sz val="12"/>
        <color indexed="8"/>
        <rFont val="Times New Roman"/>
        <family val="1"/>
      </rPr>
      <t>отм</t>
    </r>
    <r>
      <rPr>
        <sz val="12"/>
        <color indexed="8"/>
        <rFont val="Times New Roman"/>
        <family val="1"/>
      </rPr>
      <t xml:space="preserve"> </t>
    </r>
  </si>
  <si>
    <r>
      <t>Ai</t>
    </r>
    <r>
      <rPr>
        <sz val="12"/>
        <color indexed="8"/>
        <rFont val="Times New Roman"/>
        <family val="1"/>
      </rPr>
      <t xml:space="preserve">                        Общее  количество  регистрированных   актов  гражданского  состояния  и  юридически   значимых  действий</t>
    </r>
  </si>
  <si>
    <r>
      <t xml:space="preserve">Ki                         </t>
    </r>
    <r>
      <rPr>
        <sz val="12"/>
        <color indexed="8"/>
        <rFont val="Times New Roman"/>
        <family val="1"/>
      </rPr>
      <t>средний коэффициент сложности актов  гражданского  состояния  и  юридически   значимых  действий</t>
    </r>
  </si>
  <si>
    <r>
      <t xml:space="preserve">Hi   </t>
    </r>
    <r>
      <rPr>
        <sz val="12"/>
        <color indexed="8"/>
        <rFont val="Times New Roman"/>
        <family val="1"/>
      </rPr>
      <t xml:space="preserve">                  средний норматив финансовых затрат               (руб.)</t>
    </r>
  </si>
  <si>
    <t>Сi                     Размер субвенций на 2018 г.       (тыс.руб)</t>
  </si>
  <si>
    <t>Сi                     Размер субвенций на 2020 г.       (тыс.руб)</t>
  </si>
  <si>
    <t>Наименование городских округов</t>
  </si>
  <si>
    <t>субвенций бюджетам городских округов  на осуществление полномочий по государственной регистрации актов гражданского состояния</t>
  </si>
  <si>
    <t xml:space="preserve">субсидий бюджетам городских округов на организацию отдыха и оздоровление детей в лагерях дневного пребывания </t>
  </si>
  <si>
    <t>кол-во работников</t>
  </si>
  <si>
    <t>Всего в месяц (8=ст6+ст7)</t>
  </si>
  <si>
    <t>ИТОГО за 2018 год, тыс. рублей</t>
  </si>
  <si>
    <t xml:space="preserve"> субвенций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2014-2020 годы» </t>
  </si>
  <si>
    <t>Оклад, руб.</t>
  </si>
  <si>
    <t>Сумма надбавки в месяц с учетом РК и СН (6=ст.5*20%*2,5), руб.</t>
  </si>
  <si>
    <t>Сумма налогов в месяц (7=ст.6*30,2%), руб.</t>
  </si>
  <si>
    <t>субсидий бюджетам городских округов на укрепление и развитие спортивной материально-технической базы зимних видов спорта в рамках реализации подпрограммы «Развитие спорта высших достижений и подготовка спортивного резерва в Магаданской области на 2017 - 2020 годы» государственной программы  Магаданской области «Развитие физической культуры и спорта в Магаданской области» на 2014-2020 годы»</t>
  </si>
  <si>
    <t>сметная стоимость мероприятия в ценах текущего года</t>
  </si>
  <si>
    <t>средства для выполнения мероприятий по укреплению и развитию спортивной материально-технической базы зимних видов спорта, предусмотренные в бюджете муниципального образования</t>
  </si>
  <si>
    <t xml:space="preserve"> 2018 год</t>
  </si>
  <si>
    <t xml:space="preserve"> 2019 год</t>
  </si>
  <si>
    <t xml:space="preserve"> 2020 год</t>
  </si>
  <si>
    <t xml:space="preserve"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местностей». </t>
  </si>
  <si>
    <t>Всего по городской округам</t>
  </si>
  <si>
    <t>Кол-во специалистов</t>
  </si>
  <si>
    <t>в т. ч.</t>
  </si>
  <si>
    <t>гл. специалист  (кол-во ставок) (с января по декабрь)</t>
  </si>
  <si>
    <t>ежемесяч. надбавка  за особые усл. до (до 0,6 окл./мес)</t>
  </si>
  <si>
    <t>надбавка за выслугу (0,3 окл./мес)</t>
  </si>
  <si>
    <t>квалификационный разряд (чин) (1 класс старших должностей)</t>
  </si>
  <si>
    <t xml:space="preserve">Всего </t>
  </si>
  <si>
    <t>премия (0,25 окл./мес)</t>
  </si>
  <si>
    <t>единовременная выплата и материальная помощь при предоставлении ежегодного оплачиваемого отпуска (2окл.+ 1 окл в год)</t>
  </si>
  <si>
    <t>городской округный коэф (70%)</t>
  </si>
  <si>
    <t>северная надбавка (80%)</t>
  </si>
  <si>
    <t xml:space="preserve">Начисления на ФОТ 30,2 % </t>
  </si>
  <si>
    <t xml:space="preserve">Итого денежное содержание главных спец.  </t>
  </si>
  <si>
    <t>вед. специалист (кол-во ставок) (с января по декабрь)</t>
  </si>
  <si>
    <t>оклад*</t>
  </si>
  <si>
    <t>ежемесяч. надбавка  за особые усл. до (0,6 окл./мес)</t>
  </si>
  <si>
    <t>ежемесячное денеж поощрение (2 окл./мес)</t>
  </si>
  <si>
    <t>единовременная выплата и материальная помощь при предоставлении ежегодного оплачиваемого отпуска (2окл.+ 1 окл. в год)</t>
  </si>
  <si>
    <t xml:space="preserve">Итого денежное содержание ведедущих спец.  </t>
  </si>
  <si>
    <t>Почтовые расходы (тыс.руб)</t>
  </si>
  <si>
    <t>Оплата телефонной связи за год (тыс. руб.)</t>
  </si>
  <si>
    <t>Оплата электронной связи за год  (тыс.руб)</t>
  </si>
  <si>
    <t>Прочие расходные материалы и предметы снабжения в год (тыс.руб)</t>
  </si>
  <si>
    <t>кол-во семей состоящих на учете на 01.01.2015</t>
  </si>
  <si>
    <t>Командировки и служебные разъезды (тыс.руб)</t>
  </si>
  <si>
    <t>2 командировки в год по 4 дня</t>
  </si>
  <si>
    <t>стоимость билетов (руб.)</t>
  </si>
  <si>
    <t>Расходы по оплате стоимости проезда и провоза багажа к месту использования отпуска и обратно</t>
  </si>
  <si>
    <t>Расходы по оплате коммунальных услуг с учетом площади, занимаемого помещения</t>
  </si>
  <si>
    <t>Расходы на оплату услуг по содержанию имущества</t>
  </si>
  <si>
    <t>ИТОГО  на  2018  год</t>
  </si>
  <si>
    <t>ИТОГО  на  2019  год</t>
  </si>
  <si>
    <t>Кол-во состоящих на учете (человек) на 01.01.2017</t>
  </si>
  <si>
    <t>Заработная плата всех специалистов за год</t>
  </si>
  <si>
    <t>оклад (в мес)</t>
  </si>
  <si>
    <t>гор. Магадан</t>
  </si>
  <si>
    <t>ИТОГО  на  2020  год</t>
  </si>
  <si>
    <t>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в рамках подпрограммы "Финансовая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области" на  2014-2020 годы"  государственной программы Магаданской области "Развитие культуры и туризма Магаданской области" на 2014-2020 годы"</t>
  </si>
  <si>
    <t>тыс.рублей</t>
  </si>
  <si>
    <t>Численность граждан, имеющих право на получение мер социальной поддержки по оплате жилья и коммунальных услуг  (чел.)</t>
  </si>
  <si>
    <t>Средняя площадь на 1-го человека (кв.м.)</t>
  </si>
  <si>
    <t>Площадь жилья, занимаемая получателеми  мер социальной поддержке по муниципальному образованию</t>
  </si>
  <si>
    <t>Прогнозный тариф жилищных (найм,содержание и ремонт жилья) и коммунальных (отопление, освещение) услуг на 1 кв.м общей площади жилья в месяц (руб.)</t>
  </si>
  <si>
    <t>Общий объем иных  межбюджетных трансфертов</t>
  </si>
  <si>
    <t>тыс.руб.</t>
  </si>
  <si>
    <t>Наименование муниципальных образований</t>
  </si>
  <si>
    <t>число читателей  на 01.01.17 г.</t>
  </si>
  <si>
    <t>2018 год                     (тыс. рублей)</t>
  </si>
  <si>
    <t>2019 год                     (тыс. рублей)</t>
  </si>
  <si>
    <t>2020 год                     (тыс. рублей)</t>
  </si>
  <si>
    <t>Субвенции 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</si>
  <si>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>субсидий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 Магаданской области" на 2014-2020 годы"</t>
  </si>
  <si>
    <t>субсидий бюджетам городских округов, предоставляемых в рамках подпрограммы  "Дополнительное профессиональное образование лиц,замещающих муниципальные должности в Магаданской области" на 2017-2021 годы" государственной  программы " Развитие системы государственного и муниципального управления и профилактика коррупции в Магаданской области " на 2017-2021 годы"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</si>
</sst>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0.0%"/>
    <numFmt numFmtId="178" formatCode="0.0000000"/>
    <numFmt numFmtId="179" formatCode="_-* #,##0.0_р_._-;\-* #,##0.0_р_._-;_-* &quot;-&quot;_р_._-;_-@_-"/>
    <numFmt numFmtId="180" formatCode="#,##0.0"/>
    <numFmt numFmtId="181" formatCode="#,##0.000"/>
    <numFmt numFmtId="182" formatCode="_-* #,##0.0_р_._-;\-* #,##0.0_р_._-;_-* &quot;-&quot;?_р_._-;_-@_-"/>
    <numFmt numFmtId="183" formatCode="_-* #,##0_р_._-;\-* #,##0_р_._-;_-* &quot;-&quot;??_р_._-;_-@_-"/>
    <numFmt numFmtId="184" formatCode="_-* #,##0.0_р_._-;\-* #,##0.0_р_._-;_-* &quot;-&quot;??_р_._-;_-@_-"/>
    <numFmt numFmtId="185" formatCode="#,##0.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_р_._-;\-* #,##0.000_р_._-;_-* &quot;-&quot;??_р_._-;_-@_-"/>
    <numFmt numFmtId="191" formatCode="#,##0.0000"/>
    <numFmt numFmtId="192" formatCode="#,##0.0_ ;\-#,##0.0\ "/>
    <numFmt numFmtId="193" formatCode="0.00000000"/>
    <numFmt numFmtId="194" formatCode="0.0000000000"/>
    <numFmt numFmtId="195" formatCode="0.000000000"/>
    <numFmt numFmtId="196" formatCode="#,##0.00_ ;\-#,##0.00\ "/>
    <numFmt numFmtId="197" formatCode="#,##0_ ;\-#,##0\ "/>
    <numFmt numFmtId="198" formatCode="[$-FC19]d\ mmmm\ yyyy\ &quot;г.&quot;"/>
    <numFmt numFmtId="199" formatCode="_-* #,##0.00\ _р_._-;\-* #,##0.00\ _р_._-;_-* &quot;-&quot;??\ _р_._-;_-@_-"/>
    <numFmt numFmtId="200" formatCode="_-* #,##0.000\ _₽_-;\-* #,##0.000\ _₽_-;_-* &quot;-&quot;??\ _₽_-;_-@_-"/>
    <numFmt numFmtId="201" formatCode="#,##0.0000_ ;\-#,##0.0000\ "/>
    <numFmt numFmtId="202" formatCode="#,##0.00000"/>
  </numFmts>
  <fonts count="7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8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5"/>
      <name val="Times New Roman"/>
      <family val="1"/>
    </font>
    <font>
      <u val="single"/>
      <sz val="15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8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54" applyFont="1">
      <alignment/>
      <protection/>
    </xf>
    <xf numFmtId="0" fontId="1" fillId="0" borderId="0" xfId="54" applyFont="1" applyFill="1">
      <alignment/>
      <protection/>
    </xf>
    <xf numFmtId="4" fontId="9" fillId="0" borderId="10" xfId="54" applyNumberFormat="1" applyFont="1" applyFill="1" applyBorder="1">
      <alignment/>
      <protection/>
    </xf>
    <xf numFmtId="3" fontId="9" fillId="0" borderId="10" xfId="54" applyNumberFormat="1" applyFont="1" applyFill="1" applyBorder="1" applyAlignment="1">
      <alignment horizontal="center"/>
      <protection/>
    </xf>
    <xf numFmtId="180" fontId="9" fillId="0" borderId="10" xfId="54" applyNumberFormat="1" applyFont="1" applyFill="1" applyBorder="1">
      <alignment/>
      <protection/>
    </xf>
    <xf numFmtId="185" fontId="9" fillId="0" borderId="10" xfId="54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2" fontId="67" fillId="0" borderId="0" xfId="0" applyNumberFormat="1" applyFont="1" applyAlignment="1">
      <alignment horizontal="center" vertical="top" wrapText="1"/>
    </xf>
    <xf numFmtId="0" fontId="1" fillId="0" borderId="0" xfId="54" applyFont="1" applyAlignment="1">
      <alignment vertical="center"/>
      <protection/>
    </xf>
    <xf numFmtId="0" fontId="6" fillId="0" borderId="0" xfId="0" applyFont="1" applyAlignment="1">
      <alignment/>
    </xf>
    <xf numFmtId="180" fontId="68" fillId="0" borderId="0" xfId="0" applyNumberFormat="1" applyFont="1" applyFill="1" applyBorder="1" applyAlignment="1">
      <alignment/>
    </xf>
    <xf numFmtId="180" fontId="68" fillId="0" borderId="0" xfId="0" applyNumberFormat="1" applyFont="1" applyFill="1" applyBorder="1" applyAlignment="1">
      <alignment horizontal="center"/>
    </xf>
    <xf numFmtId="196" fontId="1" fillId="0" borderId="10" xfId="67" applyNumberFormat="1" applyFont="1" applyFill="1" applyBorder="1" applyAlignment="1">
      <alignment horizontal="right"/>
    </xf>
    <xf numFmtId="4" fontId="1" fillId="0" borderId="10" xfId="55" applyNumberFormat="1" applyFont="1" applyFill="1" applyBorder="1" applyAlignment="1">
      <alignment horizontal="left" wrapText="1"/>
      <protection/>
    </xf>
    <xf numFmtId="3" fontId="1" fillId="0" borderId="0" xfId="54" applyNumberFormat="1" applyFont="1" applyFill="1" applyBorder="1" applyAlignment="1">
      <alignment horizontal="center" vertical="center" wrapText="1"/>
      <protection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180" fontId="14" fillId="0" borderId="0" xfId="0" applyNumberFormat="1" applyFont="1" applyFill="1" applyBorder="1" applyAlignment="1">
      <alignment/>
    </xf>
    <xf numFmtId="0" fontId="1" fillId="0" borderId="0" xfId="54" applyFont="1" applyFill="1" applyAlignment="1">
      <alignment vertical="center"/>
      <protection/>
    </xf>
    <xf numFmtId="0" fontId="1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/>
    </xf>
    <xf numFmtId="0" fontId="6" fillId="0" borderId="0" xfId="52" applyFont="1" applyFill="1">
      <alignment/>
      <protection/>
    </xf>
    <xf numFmtId="0" fontId="6" fillId="0" borderId="11" xfId="52" applyFont="1" applyFill="1" applyBorder="1" applyAlignment="1">
      <alignment vertical="center" wrapText="1"/>
      <protection/>
    </xf>
    <xf numFmtId="0" fontId="6" fillId="0" borderId="12" xfId="52" applyFont="1" applyFill="1" applyBorder="1" applyAlignment="1">
      <alignment horizontal="right" vertical="center" wrapText="1"/>
      <protection/>
    </xf>
    <xf numFmtId="43" fontId="6" fillId="0" borderId="13" xfId="63" applyFont="1" applyFill="1" applyBorder="1" applyAlignment="1">
      <alignment horizontal="right" vertical="center" wrapText="1"/>
    </xf>
    <xf numFmtId="43" fontId="6" fillId="0" borderId="14" xfId="63" applyFont="1" applyFill="1" applyBorder="1" applyAlignment="1">
      <alignment/>
    </xf>
    <xf numFmtId="43" fontId="6" fillId="0" borderId="10" xfId="63" applyFont="1" applyFill="1" applyBorder="1" applyAlignment="1">
      <alignment/>
    </xf>
    <xf numFmtId="183" fontId="6" fillId="0" borderId="0" xfId="63" applyNumberFormat="1" applyFont="1" applyFill="1" applyAlignment="1">
      <alignment/>
    </xf>
    <xf numFmtId="43" fontId="6" fillId="0" borderId="0" xfId="52" applyNumberFormat="1" applyFont="1" applyFill="1">
      <alignment/>
      <protection/>
    </xf>
    <xf numFmtId="43" fontId="6" fillId="0" borderId="10" xfId="52" applyNumberFormat="1" applyFont="1" applyFill="1" applyBorder="1">
      <alignment/>
      <protection/>
    </xf>
    <xf numFmtId="0" fontId="6" fillId="0" borderId="15" xfId="52" applyFont="1" applyFill="1" applyBorder="1" applyAlignment="1">
      <alignment vertical="center" wrapText="1"/>
      <protection/>
    </xf>
    <xf numFmtId="0" fontId="6" fillId="0" borderId="10" xfId="52" applyFont="1" applyFill="1" applyBorder="1" applyAlignment="1">
      <alignment horizontal="right" vertical="center" wrapText="1"/>
      <protection/>
    </xf>
    <xf numFmtId="43" fontId="6" fillId="0" borderId="16" xfId="63" applyFont="1" applyFill="1" applyBorder="1" applyAlignment="1">
      <alignment horizontal="right" vertical="center" wrapText="1"/>
    </xf>
    <xf numFmtId="0" fontId="6" fillId="0" borderId="17" xfId="52" applyFont="1" applyFill="1" applyBorder="1" applyAlignment="1">
      <alignment vertical="center" wrapText="1"/>
      <protection/>
    </xf>
    <xf numFmtId="0" fontId="6" fillId="0" borderId="18" xfId="52" applyFont="1" applyFill="1" applyBorder="1" applyAlignment="1">
      <alignment horizontal="right" vertical="center" wrapText="1"/>
      <protection/>
    </xf>
    <xf numFmtId="43" fontId="6" fillId="0" borderId="19" xfId="63" applyFont="1" applyFill="1" applyBorder="1" applyAlignment="1">
      <alignment horizontal="right" vertical="center" wrapText="1"/>
    </xf>
    <xf numFmtId="180" fontId="6" fillId="0" borderId="10" xfId="63" applyNumberFormat="1" applyFont="1" applyFill="1" applyBorder="1" applyAlignment="1">
      <alignment/>
    </xf>
    <xf numFmtId="180" fontId="6" fillId="0" borderId="10" xfId="52" applyNumberFormat="1" applyFont="1" applyFill="1" applyBorder="1">
      <alignment/>
      <protection/>
    </xf>
    <xf numFmtId="180" fontId="6" fillId="0" borderId="10" xfId="52" applyNumberFormat="1" applyFont="1" applyFill="1" applyBorder="1" applyAlignment="1">
      <alignment horizontal="right" vertical="center" wrapText="1"/>
      <protection/>
    </xf>
    <xf numFmtId="3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horizontal="left" wrapText="1"/>
      <protection/>
    </xf>
    <xf numFmtId="0" fontId="6" fillId="0" borderId="0" xfId="54" applyFont="1" applyFill="1" applyAlignment="1">
      <alignment horizontal="center" wrapText="1"/>
      <protection/>
    </xf>
    <xf numFmtId="0" fontId="68" fillId="0" borderId="10" xfId="0" applyFont="1" applyBorder="1" applyAlignment="1">
      <alignment horizontal="center" vertical="top" wrapText="1"/>
    </xf>
    <xf numFmtId="0" fontId="6" fillId="0" borderId="0" xfId="54" applyFont="1" applyFill="1" applyAlignment="1">
      <alignment horizontal="left"/>
      <protection/>
    </xf>
    <xf numFmtId="3" fontId="1" fillId="0" borderId="20" xfId="54" applyNumberFormat="1" applyFont="1" applyFill="1" applyBorder="1" applyAlignment="1">
      <alignment horizontal="center" vertical="center" wrapText="1"/>
      <protection/>
    </xf>
    <xf numFmtId="3" fontId="1" fillId="0" borderId="21" xfId="54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>
      <alignment/>
      <protection/>
    </xf>
    <xf numFmtId="0" fontId="68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68" fillId="0" borderId="10" xfId="0" applyFont="1" applyBorder="1" applyAlignment="1">
      <alignment wrapText="1"/>
    </xf>
    <xf numFmtId="0" fontId="6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4" fontId="12" fillId="0" borderId="10" xfId="55" applyNumberFormat="1" applyFont="1" applyFill="1" applyBorder="1" applyAlignment="1">
      <alignment horizontal="left" vertical="top"/>
      <protection/>
    </xf>
    <xf numFmtId="0" fontId="10" fillId="0" borderId="0" xfId="0" applyFont="1" applyFill="1" applyAlignment="1">
      <alignment/>
    </xf>
    <xf numFmtId="2" fontId="69" fillId="0" borderId="0" xfId="0" applyNumberFormat="1" applyFont="1" applyFill="1" applyAlignment="1">
      <alignment vertical="top" wrapText="1"/>
    </xf>
    <xf numFmtId="2" fontId="70" fillId="0" borderId="0" xfId="0" applyNumberFormat="1" applyFont="1" applyFill="1" applyAlignment="1">
      <alignment vertical="top" wrapText="1"/>
    </xf>
    <xf numFmtId="0" fontId="12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/>
      <protection/>
    </xf>
    <xf numFmtId="173" fontId="12" fillId="0" borderId="10" xfId="56" applyNumberFormat="1" applyFont="1" applyFill="1" applyBorder="1" applyAlignment="1">
      <alignment horizontal="center"/>
      <protection/>
    </xf>
    <xf numFmtId="2" fontId="12" fillId="0" borderId="10" xfId="56" applyNumberFormat="1" applyFont="1" applyFill="1" applyBorder="1" applyAlignment="1">
      <alignment horizontal="center"/>
      <protection/>
    </xf>
    <xf numFmtId="192" fontId="71" fillId="0" borderId="10" xfId="65" applyNumberFormat="1" applyFont="1" applyFill="1" applyBorder="1" applyAlignment="1">
      <alignment horizontal="center"/>
    </xf>
    <xf numFmtId="4" fontId="12" fillId="0" borderId="10" xfId="63" applyNumberFormat="1" applyFont="1" applyFill="1" applyBorder="1" applyAlignment="1">
      <alignment horizontal="center"/>
    </xf>
    <xf numFmtId="4" fontId="71" fillId="0" borderId="10" xfId="63" applyNumberFormat="1" applyFont="1" applyBorder="1" applyAlignment="1">
      <alignment horizontal="center"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top" wrapText="1"/>
      <protection/>
    </xf>
    <xf numFmtId="4" fontId="6" fillId="0" borderId="10" xfId="55" applyNumberFormat="1" applyFont="1" applyFill="1" applyBorder="1" applyAlignment="1">
      <alignment horizontal="left" vertical="top"/>
      <protection/>
    </xf>
    <xf numFmtId="4" fontId="7" fillId="0" borderId="10" xfId="0" applyNumberFormat="1" applyFont="1" applyBorder="1" applyAlignment="1">
      <alignment horizontal="center"/>
    </xf>
    <xf numFmtId="0" fontId="8" fillId="33" borderId="10" xfId="54" applyFont="1" applyFill="1" applyBorder="1">
      <alignment/>
      <protection/>
    </xf>
    <xf numFmtId="4" fontId="72" fillId="0" borderId="10" xfId="63" applyNumberFormat="1" applyFont="1" applyBorder="1" applyAlignment="1">
      <alignment horizontal="center"/>
    </xf>
    <xf numFmtId="0" fontId="6" fillId="0" borderId="1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>
      <alignment/>
      <protection/>
    </xf>
    <xf numFmtId="2" fontId="6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80" fontId="68" fillId="0" borderId="0" xfId="0" applyNumberFormat="1" applyFont="1" applyFill="1" applyBorder="1" applyAlignment="1">
      <alignment horizontal="right"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2" fontId="71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 horizontal="right"/>
    </xf>
    <xf numFmtId="180" fontId="6" fillId="0" borderId="10" xfId="54" applyNumberFormat="1" applyFont="1" applyFill="1" applyBorder="1" applyAlignment="1">
      <alignment horizontal="right"/>
      <protection/>
    </xf>
    <xf numFmtId="0" fontId="6" fillId="0" borderId="10" xfId="54" applyFont="1" applyFill="1" applyBorder="1">
      <alignment/>
      <protection/>
    </xf>
    <xf numFmtId="180" fontId="68" fillId="0" borderId="10" xfId="0" applyNumberFormat="1" applyFont="1" applyFill="1" applyBorder="1" applyAlignment="1">
      <alignment horizontal="right"/>
    </xf>
    <xf numFmtId="0" fontId="1" fillId="0" borderId="0" xfId="54" applyFont="1" applyFill="1" applyAlignment="1">
      <alignment horizontal="right" vertical="center"/>
      <protection/>
    </xf>
    <xf numFmtId="0" fontId="1" fillId="0" borderId="0" xfId="54" applyFont="1" applyFill="1" applyAlignment="1">
      <alignment horizontal="center"/>
      <protection/>
    </xf>
    <xf numFmtId="4" fontId="12" fillId="0" borderId="22" xfId="0" applyNumberFormat="1" applyFont="1" applyFill="1" applyBorder="1" applyAlignment="1">
      <alignment/>
    </xf>
    <xf numFmtId="4" fontId="14" fillId="0" borderId="13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4" fillId="0" borderId="24" xfId="0" applyNumberFormat="1" applyFont="1" applyFill="1" applyBorder="1" applyAlignment="1">
      <alignment/>
    </xf>
    <xf numFmtId="0" fontId="1" fillId="0" borderId="0" xfId="54" applyFont="1" applyFill="1" applyBorder="1">
      <alignment/>
      <protection/>
    </xf>
    <xf numFmtId="0" fontId="12" fillId="0" borderId="0" xfId="54" applyFont="1" applyFill="1">
      <alignment/>
      <protection/>
    </xf>
    <xf numFmtId="4" fontId="12" fillId="0" borderId="20" xfId="54" applyNumberFormat="1" applyFont="1" applyFill="1" applyBorder="1" applyAlignment="1">
      <alignment/>
      <protection/>
    </xf>
    <xf numFmtId="4" fontId="12" fillId="0" borderId="21" xfId="54" applyNumberFormat="1" applyFont="1" applyFill="1" applyBorder="1" applyAlignment="1">
      <alignment/>
      <protection/>
    </xf>
    <xf numFmtId="180" fontId="12" fillId="0" borderId="0" xfId="54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/>
      <protection/>
    </xf>
    <xf numFmtId="3" fontId="12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>
      <alignment/>
      <protection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3" fontId="15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4" fontId="1" fillId="0" borderId="10" xfId="54" applyNumberFormat="1" applyFont="1" applyFill="1" applyBorder="1" applyAlignment="1">
      <alignment wrapText="1"/>
      <protection/>
    </xf>
    <xf numFmtId="4" fontId="12" fillId="0" borderId="10" xfId="54" applyNumberFormat="1" applyFont="1" applyFill="1" applyBorder="1" applyAlignment="1">
      <alignment horizontal="right"/>
      <protection/>
    </xf>
    <xf numFmtId="196" fontId="1" fillId="0" borderId="10" xfId="67" applyNumberFormat="1" applyFont="1" applyFill="1" applyBorder="1" applyAlignment="1">
      <alignment horizontal="center"/>
    </xf>
    <xf numFmtId="196" fontId="5" fillId="0" borderId="10" xfId="67" applyNumberFormat="1" applyFont="1" applyFill="1" applyBorder="1" applyAlignment="1">
      <alignment horizontal="center"/>
    </xf>
    <xf numFmtId="4" fontId="12" fillId="0" borderId="10" xfId="54" applyNumberFormat="1" applyFont="1" applyFill="1" applyBorder="1" applyAlignment="1">
      <alignment wrapText="1"/>
      <protection/>
    </xf>
    <xf numFmtId="0" fontId="12" fillId="0" borderId="10" xfId="54" applyFont="1" applyFill="1" applyBorder="1">
      <alignment/>
      <protection/>
    </xf>
    <xf numFmtId="3" fontId="12" fillId="0" borderId="10" xfId="54" applyNumberFormat="1" applyFont="1" applyFill="1" applyBorder="1" applyAlignment="1">
      <alignment horizontal="center"/>
      <protection/>
    </xf>
    <xf numFmtId="4" fontId="12" fillId="0" borderId="10" xfId="54" applyNumberFormat="1" applyFont="1" applyFill="1" applyBorder="1" applyAlignment="1">
      <alignment horizontal="center"/>
      <protection/>
    </xf>
    <xf numFmtId="4" fontId="1" fillId="0" borderId="10" xfId="55" applyNumberFormat="1" applyFont="1" applyFill="1" applyBorder="1" applyAlignment="1">
      <alignment horizontal="center"/>
      <protection/>
    </xf>
    <xf numFmtId="43" fontId="1" fillId="0" borderId="10" xfId="67" applyFont="1" applyFill="1" applyBorder="1" applyAlignment="1">
      <alignment horizontal="center"/>
    </xf>
    <xf numFmtId="197" fontId="14" fillId="0" borderId="10" xfId="67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180" fontId="1" fillId="0" borderId="10" xfId="54" applyNumberFormat="1" applyFont="1" applyFill="1" applyBorder="1" applyAlignment="1">
      <alignment horizontal="center"/>
      <protection/>
    </xf>
    <xf numFmtId="4" fontId="12" fillId="0" borderId="10" xfId="55" applyNumberFormat="1" applyFont="1" applyFill="1" applyBorder="1" applyAlignment="1">
      <alignment horizontal="center" vertical="top"/>
      <protection/>
    </xf>
    <xf numFmtId="4" fontId="14" fillId="0" borderId="10" xfId="0" applyNumberFormat="1" applyFont="1" applyFill="1" applyBorder="1" applyAlignment="1">
      <alignment horizontal="center"/>
    </xf>
    <xf numFmtId="4" fontId="12" fillId="0" borderId="10" xfId="55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/>
    </xf>
    <xf numFmtId="4" fontId="1" fillId="0" borderId="10" xfId="54" applyNumberFormat="1" applyFont="1" applyFill="1" applyBorder="1" applyAlignment="1">
      <alignment horizontal="center"/>
      <protection/>
    </xf>
    <xf numFmtId="3" fontId="1" fillId="0" borderId="10" xfId="54" applyNumberFormat="1" applyFont="1" applyFill="1" applyBorder="1" applyAlignment="1">
      <alignment horizontal="center"/>
      <protection/>
    </xf>
    <xf numFmtId="180" fontId="12" fillId="0" borderId="10" xfId="54" applyNumberFormat="1" applyFont="1" applyFill="1" applyBorder="1" applyAlignment="1">
      <alignment horizontal="center"/>
      <protection/>
    </xf>
    <xf numFmtId="192" fontId="14" fillId="0" borderId="10" xfId="67" applyNumberFormat="1" applyFont="1" applyFill="1" applyBorder="1" applyAlignment="1">
      <alignment horizontal="center"/>
    </xf>
    <xf numFmtId="192" fontId="12" fillId="0" borderId="10" xfId="54" applyNumberFormat="1" applyFont="1" applyFill="1" applyBorder="1" applyAlignment="1">
      <alignment horizontal="center"/>
      <protection/>
    </xf>
    <xf numFmtId="4" fontId="12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horizontal="left" vertical="top" wrapText="1"/>
    </xf>
    <xf numFmtId="3" fontId="68" fillId="0" borderId="10" xfId="0" applyNumberFormat="1" applyFont="1" applyFill="1" applyBorder="1" applyAlignment="1">
      <alignment horizontal="center" vertical="top" wrapText="1"/>
    </xf>
    <xf numFmtId="180" fontId="68" fillId="0" borderId="10" xfId="0" applyNumberFormat="1" applyFont="1" applyFill="1" applyBorder="1" applyAlignment="1">
      <alignment horizontal="center" vertical="top" wrapText="1"/>
    </xf>
    <xf numFmtId="43" fontId="68" fillId="0" borderId="10" xfId="63" applyFont="1" applyFill="1" applyBorder="1" applyAlignment="1">
      <alignment horizontal="center" vertical="top" wrapText="1"/>
    </xf>
    <xf numFmtId="0" fontId="73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right" vertical="top" wrapText="1" indent="2"/>
    </xf>
    <xf numFmtId="180" fontId="6" fillId="0" borderId="10" xfId="0" applyNumberFormat="1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left" vertical="top" wrapText="1" indent="2"/>
    </xf>
    <xf numFmtId="180" fontId="68" fillId="0" borderId="10" xfId="0" applyNumberFormat="1" applyFont="1" applyFill="1" applyBorder="1" applyAlignment="1">
      <alignment horizontal="right" vertical="top" wrapText="1" indent="2"/>
    </xf>
    <xf numFmtId="0" fontId="68" fillId="0" borderId="1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right" wrapText="1"/>
    </xf>
    <xf numFmtId="3" fontId="68" fillId="0" borderId="10" xfId="0" applyNumberFormat="1" applyFont="1" applyFill="1" applyBorder="1" applyAlignment="1">
      <alignment horizontal="center" wrapText="1"/>
    </xf>
    <xf numFmtId="180" fontId="68" fillId="0" borderId="10" xfId="0" applyNumberFormat="1" applyFont="1" applyFill="1" applyBorder="1" applyAlignment="1">
      <alignment horizontal="right" wrapText="1"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180" fontId="68" fillId="0" borderId="10" xfId="63" applyNumberFormat="1" applyFont="1" applyFill="1" applyBorder="1" applyAlignment="1">
      <alignment horizontal="center" vertical="center"/>
    </xf>
    <xf numFmtId="43" fontId="73" fillId="0" borderId="10" xfId="63" applyFont="1" applyFill="1" applyBorder="1" applyAlignment="1">
      <alignment horizontal="center"/>
    </xf>
    <xf numFmtId="43" fontId="73" fillId="0" borderId="10" xfId="0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180" fontId="68" fillId="0" borderId="10" xfId="63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 wrapText="1"/>
    </xf>
    <xf numFmtId="0" fontId="68" fillId="0" borderId="0" xfId="0" applyFont="1" applyFill="1" applyAlignment="1">
      <alignment horizontal="right"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0" fontId="68" fillId="0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4" fontId="6" fillId="0" borderId="10" xfId="54" applyNumberFormat="1" applyFont="1" applyFill="1" applyBorder="1" applyAlignment="1">
      <alignment/>
      <protection/>
    </xf>
    <xf numFmtId="180" fontId="68" fillId="0" borderId="10" xfId="0" applyNumberFormat="1" applyFont="1" applyFill="1" applyBorder="1" applyAlignment="1">
      <alignment horizontal="center"/>
    </xf>
    <xf numFmtId="180" fontId="6" fillId="0" borderId="10" xfId="63" applyNumberFormat="1" applyFont="1" applyFill="1" applyBorder="1" applyAlignment="1">
      <alignment horizontal="center"/>
    </xf>
    <xf numFmtId="0" fontId="7" fillId="0" borderId="0" xfId="54" applyFont="1" applyFill="1">
      <alignment/>
      <protection/>
    </xf>
    <xf numFmtId="0" fontId="6" fillId="0" borderId="0" xfId="54" applyFont="1" applyFill="1" applyAlignment="1">
      <alignment horizontal="center" vertical="top" wrapText="1"/>
      <protection/>
    </xf>
    <xf numFmtId="0" fontId="19" fillId="0" borderId="0" xfId="54" applyFont="1" applyFill="1">
      <alignment/>
      <protection/>
    </xf>
    <xf numFmtId="0" fontId="6" fillId="0" borderId="0" xfId="54" applyFont="1" applyFill="1" applyAlignment="1">
      <alignment horizontal="right" vertical="top" wrapText="1"/>
      <protection/>
    </xf>
    <xf numFmtId="0" fontId="7" fillId="0" borderId="0" xfId="54" applyFont="1" applyFill="1" applyAlignment="1">
      <alignment vertical="center"/>
      <protection/>
    </xf>
    <xf numFmtId="0" fontId="68" fillId="0" borderId="10" xfId="0" applyFont="1" applyFill="1" applyBorder="1" applyAlignment="1">
      <alignment horizontal="center" wrapText="1"/>
    </xf>
    <xf numFmtId="0" fontId="7" fillId="0" borderId="0" xfId="54" applyFont="1" applyFill="1" applyAlignment="1">
      <alignment/>
      <protection/>
    </xf>
    <xf numFmtId="0" fontId="68" fillId="0" borderId="10" xfId="0" applyFont="1" applyFill="1" applyBorder="1" applyAlignment="1">
      <alignment horizontal="justify" wrapText="1"/>
    </xf>
    <xf numFmtId="0" fontId="6" fillId="0" borderId="0" xfId="54" applyFont="1" applyFill="1" applyAlignment="1">
      <alignment horizontal="right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3" fontId="68" fillId="0" borderId="10" xfId="0" applyNumberFormat="1" applyFont="1" applyBorder="1" applyAlignment="1">
      <alignment horizontal="center"/>
    </xf>
    <xf numFmtId="2" fontId="68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8" fillId="0" borderId="0" xfId="0" applyFont="1" applyAlignment="1">
      <alignment horizontal="right"/>
    </xf>
    <xf numFmtId="180" fontId="68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43" fontId="6" fillId="0" borderId="25" xfId="63" applyFont="1" applyFill="1" applyBorder="1" applyAlignment="1">
      <alignment horizontal="right" vertical="center" wrapText="1"/>
    </xf>
    <xf numFmtId="43" fontId="6" fillId="0" borderId="26" xfId="63" applyFont="1" applyFill="1" applyBorder="1" applyAlignment="1">
      <alignment horizontal="right" vertical="center" wrapText="1"/>
    </xf>
    <xf numFmtId="43" fontId="6" fillId="0" borderId="27" xfId="63" applyFont="1" applyFill="1" applyBorder="1" applyAlignment="1">
      <alignment horizontal="right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43" fontId="6" fillId="0" borderId="10" xfId="63" applyFont="1" applyFill="1" applyBorder="1" applyAlignment="1">
      <alignment horizontal="center" vertical="center" wrapText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3" fontId="6" fillId="0" borderId="10" xfId="63" applyFont="1" applyFill="1" applyBorder="1" applyAlignment="1">
      <alignment vertical="center" wrapText="1"/>
    </xf>
    <xf numFmtId="0" fontId="6" fillId="0" borderId="10" xfId="52" applyFont="1" applyFill="1" applyBorder="1" applyAlignment="1">
      <alignment vertical="center" wrapText="1"/>
      <protection/>
    </xf>
    <xf numFmtId="180" fontId="6" fillId="0" borderId="10" xfId="63" applyNumberFormat="1" applyFont="1" applyFill="1" applyBorder="1" applyAlignment="1">
      <alignment horizontal="right" vertical="center" wrapText="1"/>
    </xf>
    <xf numFmtId="43" fontId="6" fillId="0" borderId="10" xfId="63" applyFont="1" applyFill="1" applyBorder="1" applyAlignment="1">
      <alignment horizontal="right" vertical="center" wrapText="1"/>
    </xf>
    <xf numFmtId="4" fontId="6" fillId="0" borderId="10" xfId="63" applyNumberFormat="1" applyFont="1" applyFill="1" applyBorder="1" applyAlignment="1">
      <alignment horizontal="right" vertical="center" wrapText="1"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vertical="center" wrapText="1"/>
      <protection/>
    </xf>
    <xf numFmtId="0" fontId="6" fillId="0" borderId="28" xfId="52" applyFont="1" applyFill="1" applyBorder="1" applyAlignment="1">
      <alignment horizontal="center" vertical="center" wrapText="1"/>
      <protection/>
    </xf>
    <xf numFmtId="0" fontId="6" fillId="0" borderId="29" xfId="52" applyFont="1" applyFill="1" applyBorder="1" applyAlignment="1">
      <alignment horizontal="right" vertical="center" wrapText="1"/>
      <protection/>
    </xf>
    <xf numFmtId="43" fontId="6" fillId="0" borderId="30" xfId="63" applyFont="1" applyFill="1" applyBorder="1" applyAlignment="1">
      <alignment horizontal="right" vertical="center" wrapText="1"/>
    </xf>
    <xf numFmtId="43" fontId="6" fillId="0" borderId="31" xfId="63" applyFont="1" applyFill="1" applyBorder="1" applyAlignment="1">
      <alignment horizontal="right" vertical="center" wrapText="1"/>
    </xf>
    <xf numFmtId="43" fontId="6" fillId="0" borderId="22" xfId="63" applyFont="1" applyFill="1" applyBorder="1" applyAlignment="1">
      <alignment horizontal="center" vertical="center" wrapText="1"/>
    </xf>
    <xf numFmtId="43" fontId="6" fillId="0" borderId="12" xfId="63" applyFont="1" applyFill="1" applyBorder="1" applyAlignment="1">
      <alignment horizontal="center" vertical="center" wrapText="1"/>
    </xf>
    <xf numFmtId="43" fontId="6" fillId="0" borderId="32" xfId="63" applyFont="1" applyFill="1" applyBorder="1" applyAlignment="1">
      <alignment horizontal="right" vertical="center" wrapText="1"/>
    </xf>
    <xf numFmtId="0" fontId="2" fillId="0" borderId="0" xfId="54" applyFont="1" applyFill="1" applyAlignment="1">
      <alignment horizontal="center" wrapText="1"/>
      <protection/>
    </xf>
    <xf numFmtId="0" fontId="2" fillId="0" borderId="0" xfId="54" applyFont="1" applyFill="1" applyAlignment="1">
      <alignment wrapText="1"/>
      <protection/>
    </xf>
    <xf numFmtId="0" fontId="8" fillId="0" borderId="0" xfId="54" applyFont="1" applyFill="1" applyAlignment="1">
      <alignment horizontal="right" vertical="top" wrapText="1"/>
      <protection/>
    </xf>
    <xf numFmtId="0" fontId="71" fillId="0" borderId="10" xfId="52" applyFont="1" applyFill="1" applyBorder="1" applyAlignment="1">
      <alignment horizontal="center" vertical="center" wrapText="1"/>
      <protection/>
    </xf>
    <xf numFmtId="0" fontId="71" fillId="0" borderId="10" xfId="52" applyFont="1" applyFill="1" applyBorder="1" applyAlignment="1">
      <alignment horizontal="center" wrapText="1"/>
      <protection/>
    </xf>
    <xf numFmtId="180" fontId="6" fillId="0" borderId="10" xfId="54" applyNumberFormat="1" applyFont="1" applyFill="1" applyBorder="1" applyAlignment="1">
      <alignment horizontal="center"/>
      <protection/>
    </xf>
    <xf numFmtId="0" fontId="1" fillId="0" borderId="0" xfId="54" applyFont="1" applyFill="1" applyAlignment="1">
      <alignment horizontal="right"/>
      <protection/>
    </xf>
    <xf numFmtId="0" fontId="1" fillId="0" borderId="10" xfId="54" applyFont="1" applyFill="1" applyBorder="1" applyAlignment="1">
      <alignment horizontal="center" wrapText="1"/>
      <protection/>
    </xf>
    <xf numFmtId="0" fontId="71" fillId="0" borderId="10" xfId="52" applyFont="1" applyFill="1" applyBorder="1" applyAlignment="1">
      <alignment horizontal="left" vertical="top" wrapText="1"/>
      <protection/>
    </xf>
    <xf numFmtId="181" fontId="6" fillId="0" borderId="10" xfId="54" applyNumberFormat="1" applyFont="1" applyFill="1" applyBorder="1" applyAlignment="1">
      <alignment horizontal="center"/>
      <protection/>
    </xf>
    <xf numFmtId="4" fontId="6" fillId="0" borderId="10" xfId="54" applyNumberFormat="1" applyFont="1" applyFill="1" applyBorder="1" applyAlignment="1">
      <alignment horizontal="center"/>
      <protection/>
    </xf>
    <xf numFmtId="3" fontId="6" fillId="0" borderId="10" xfId="54" applyNumberFormat="1" applyFont="1" applyFill="1" applyBorder="1" applyAlignment="1">
      <alignment horizontal="center"/>
      <protection/>
    </xf>
    <xf numFmtId="0" fontId="71" fillId="0" borderId="10" xfId="52" applyFont="1" applyFill="1" applyBorder="1" applyAlignment="1">
      <alignment horizontal="left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/>
      <protection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180" fontId="12" fillId="0" borderId="10" xfId="0" applyNumberFormat="1" applyFont="1" applyFill="1" applyBorder="1" applyAlignment="1">
      <alignment horizontal="center"/>
    </xf>
    <xf numFmtId="0" fontId="9" fillId="0" borderId="0" xfId="54" applyFont="1" applyFill="1" applyBorder="1" applyAlignment="1">
      <alignment horizontal="center"/>
      <protection/>
    </xf>
    <xf numFmtId="185" fontId="1" fillId="0" borderId="0" xfId="54" applyNumberFormat="1" applyFont="1" applyFill="1">
      <alignment/>
      <protection/>
    </xf>
    <xf numFmtId="180" fontId="1" fillId="0" borderId="0" xfId="54" applyNumberFormat="1" applyFont="1" applyFill="1">
      <alignment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>
      <alignment/>
      <protection/>
    </xf>
    <xf numFmtId="43" fontId="9" fillId="0" borderId="10" xfId="65" applyFont="1" applyFill="1" applyBorder="1" applyAlignment="1">
      <alignment vertical="center" wrapText="1"/>
    </xf>
    <xf numFmtId="0" fontId="9" fillId="0" borderId="10" xfId="54" applyFont="1" applyFill="1" applyBorder="1" applyAlignment="1">
      <alignment wrapText="1"/>
      <protection/>
    </xf>
    <xf numFmtId="4" fontId="9" fillId="0" borderId="10" xfId="54" applyNumberFormat="1" applyFont="1" applyFill="1" applyBorder="1" applyAlignment="1">
      <alignment horizontal="right"/>
      <protection/>
    </xf>
    <xf numFmtId="180" fontId="9" fillId="0" borderId="10" xfId="54" applyNumberFormat="1" applyFont="1" applyFill="1" applyBorder="1" applyAlignment="1">
      <alignment horizontal="right"/>
      <protection/>
    </xf>
    <xf numFmtId="0" fontId="24" fillId="0" borderId="0" xfId="52" applyFont="1" applyFill="1" applyAlignment="1">
      <alignment horizontal="center" wrapText="1"/>
      <protection/>
    </xf>
    <xf numFmtId="0" fontId="1" fillId="0" borderId="0" xfId="52" applyFont="1" applyFill="1">
      <alignment/>
      <protection/>
    </xf>
    <xf numFmtId="0" fontId="1" fillId="0" borderId="0" xfId="52" applyFont="1" applyFill="1" applyBorder="1" applyAlignment="1">
      <alignment horizontal="left" wrapText="1"/>
      <protection/>
    </xf>
    <xf numFmtId="173" fontId="1" fillId="0" borderId="0" xfId="52" applyNumberFormat="1" applyFont="1" applyFill="1" applyBorder="1" applyAlignment="1">
      <alignment horizontal="right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vertical="center"/>
      <protection/>
    </xf>
    <xf numFmtId="0" fontId="6" fillId="0" borderId="10" xfId="52" applyFont="1" applyFill="1" applyBorder="1" applyAlignment="1">
      <alignment horizontal="center"/>
      <protection/>
    </xf>
    <xf numFmtId="49" fontId="6" fillId="0" borderId="10" xfId="52" applyNumberFormat="1" applyFont="1" applyFill="1" applyBorder="1" applyAlignment="1">
      <alignment horizontal="left" vertical="center" wrapText="1"/>
      <protection/>
    </xf>
    <xf numFmtId="180" fontId="6" fillId="0" borderId="10" xfId="52" applyNumberFormat="1" applyFont="1" applyFill="1" applyBorder="1" applyAlignment="1">
      <alignment horizontal="center" vertical="center" wrapText="1"/>
      <protection/>
    </xf>
    <xf numFmtId="180" fontId="6" fillId="0" borderId="0" xfId="52" applyNumberFormat="1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180" fontId="6" fillId="0" borderId="0" xfId="52" applyNumberFormat="1" applyFont="1" applyFill="1" applyBorder="1" applyAlignment="1">
      <alignment horizontal="center"/>
      <protection/>
    </xf>
    <xf numFmtId="49" fontId="9" fillId="0" borderId="10" xfId="52" applyNumberFormat="1" applyFont="1" applyFill="1" applyBorder="1" applyAlignment="1">
      <alignment horizontal="left" vertical="center" wrapText="1"/>
      <protection/>
    </xf>
    <xf numFmtId="49" fontId="6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right" wrapText="1"/>
      <protection/>
    </xf>
    <xf numFmtId="180" fontId="6" fillId="0" borderId="10" xfId="52" applyNumberFormat="1" applyFont="1" applyFill="1" applyBorder="1" applyAlignment="1">
      <alignment horizontal="center"/>
      <protection/>
    </xf>
    <xf numFmtId="49" fontId="6" fillId="0" borderId="10" xfId="52" applyNumberFormat="1" applyFont="1" applyFill="1" applyBorder="1" applyAlignment="1">
      <alignment horizontal="right" wrapText="1"/>
      <protection/>
    </xf>
    <xf numFmtId="180" fontId="6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 applyFill="1" applyAlignment="1">
      <alignment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55" applyNumberFormat="1" applyFont="1" applyFill="1" applyBorder="1" applyAlignment="1">
      <alignment horizontal="left" wrapText="1"/>
      <protection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92" fontId="68" fillId="0" borderId="10" xfId="63" applyNumberFormat="1" applyFont="1" applyFill="1" applyBorder="1" applyAlignment="1">
      <alignment horizontal="center" wrapText="1"/>
    </xf>
    <xf numFmtId="0" fontId="73" fillId="0" borderId="0" xfId="0" applyFont="1" applyAlignment="1">
      <alignment/>
    </xf>
    <xf numFmtId="0" fontId="68" fillId="0" borderId="0" xfId="0" applyFont="1" applyAlignment="1">
      <alignment horizontal="center" vertical="center" wrapText="1"/>
    </xf>
    <xf numFmtId="0" fontId="74" fillId="0" borderId="10" xfId="0" applyFont="1" applyFill="1" applyBorder="1" applyAlignment="1">
      <alignment horizontal="center"/>
    </xf>
    <xf numFmtId="180" fontId="7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8" fillId="0" borderId="10" xfId="52" applyFont="1" applyFill="1" applyBorder="1" applyAlignment="1">
      <alignment horizontal="left" wrapText="1"/>
      <protection/>
    </xf>
    <xf numFmtId="2" fontId="74" fillId="0" borderId="10" xfId="0" applyNumberFormat="1" applyFont="1" applyFill="1" applyBorder="1" applyAlignment="1">
      <alignment horizontal="center"/>
    </xf>
    <xf numFmtId="172" fontId="74" fillId="0" borderId="10" xfId="0" applyNumberFormat="1" applyFont="1" applyFill="1" applyBorder="1" applyAlignment="1">
      <alignment horizontal="center"/>
    </xf>
    <xf numFmtId="173" fontId="74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2" fontId="6" fillId="0" borderId="10" xfId="0" applyNumberFormat="1" applyFont="1" applyFill="1" applyBorder="1" applyAlignment="1">
      <alignment horizontal="center"/>
    </xf>
    <xf numFmtId="182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80" fontId="68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 wrapText="1"/>
    </xf>
    <xf numFmtId="0" fontId="6" fillId="0" borderId="0" xfId="52" applyFont="1" applyFill="1" applyAlignment="1">
      <alignment/>
      <protection/>
    </xf>
    <xf numFmtId="0" fontId="6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wrapText="1"/>
      <protection/>
    </xf>
    <xf numFmtId="0" fontId="23" fillId="0" borderId="10" xfId="52" applyFont="1" applyFill="1" applyBorder="1" applyAlignment="1">
      <alignment horizontal="center" wrapText="1"/>
      <protection/>
    </xf>
    <xf numFmtId="184" fontId="6" fillId="0" borderId="10" xfId="65" applyNumberFormat="1" applyFont="1" applyFill="1" applyBorder="1" applyAlignment="1">
      <alignment horizontal="center" wrapText="1"/>
    </xf>
    <xf numFmtId="0" fontId="6" fillId="0" borderId="14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190" fontId="6" fillId="0" borderId="10" xfId="65" applyNumberFormat="1" applyFont="1" applyFill="1" applyBorder="1" applyAlignment="1">
      <alignment horizontal="center" wrapText="1"/>
    </xf>
    <xf numFmtId="43" fontId="6" fillId="0" borderId="14" xfId="65" applyNumberFormat="1" applyFont="1" applyFill="1" applyBorder="1" applyAlignment="1">
      <alignment horizontal="right" wrapText="1"/>
    </xf>
    <xf numFmtId="201" fontId="6" fillId="0" borderId="10" xfId="65" applyNumberFormat="1" applyFont="1" applyFill="1" applyBorder="1" applyAlignment="1">
      <alignment horizontal="center" wrapText="1"/>
    </xf>
    <xf numFmtId="173" fontId="6" fillId="0" borderId="10" xfId="52" applyNumberFormat="1" applyFont="1" applyFill="1" applyBorder="1" applyAlignment="1">
      <alignment horizontal="center"/>
      <protection/>
    </xf>
    <xf numFmtId="180" fontId="6" fillId="0" borderId="14" xfId="52" applyNumberFormat="1" applyFont="1" applyFill="1" applyBorder="1" applyAlignment="1">
      <alignment horizontal="center"/>
      <protection/>
    </xf>
    <xf numFmtId="184" fontId="6" fillId="0" borderId="0" xfId="52" applyNumberFormat="1" applyFont="1" applyFill="1" applyAlignment="1">
      <alignment/>
      <protection/>
    </xf>
    <xf numFmtId="2" fontId="6" fillId="0" borderId="10" xfId="52" applyNumberFormat="1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/>
      <protection/>
    </xf>
    <xf numFmtId="184" fontId="6" fillId="0" borderId="10" xfId="52" applyNumberFormat="1" applyFont="1" applyFill="1" applyBorder="1" applyAlignment="1">
      <alignment horizontal="center"/>
      <protection/>
    </xf>
    <xf numFmtId="173" fontId="6" fillId="0" borderId="0" xfId="52" applyNumberFormat="1" applyFont="1" applyFill="1" applyAlignment="1">
      <alignment/>
      <protection/>
    </xf>
    <xf numFmtId="0" fontId="6" fillId="0" borderId="33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173" fontId="6" fillId="0" borderId="0" xfId="52" applyNumberFormat="1" applyFont="1" applyFill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68" fillId="0" borderId="10" xfId="52" applyFont="1" applyBorder="1" applyAlignment="1">
      <alignment horizontal="center" vertical="top" wrapText="1"/>
      <protection/>
    </xf>
    <xf numFmtId="0" fontId="22" fillId="0" borderId="10" xfId="52" applyFont="1" applyFill="1" applyBorder="1">
      <alignment/>
      <protection/>
    </xf>
    <xf numFmtId="0" fontId="68" fillId="0" borderId="10" xfId="52" applyFont="1" applyBorder="1" applyAlignment="1">
      <alignment horizontal="center"/>
      <protection/>
    </xf>
    <xf numFmtId="43" fontId="68" fillId="0" borderId="10" xfId="65" applyFont="1" applyFill="1" applyBorder="1" applyAlignment="1">
      <alignment horizontal="center"/>
    </xf>
    <xf numFmtId="180" fontId="68" fillId="0" borderId="10" xfId="65" applyNumberFormat="1" applyFont="1" applyBorder="1" applyAlignment="1">
      <alignment horizontal="center"/>
    </xf>
    <xf numFmtId="0" fontId="22" fillId="0" borderId="10" xfId="52" applyFont="1" applyFill="1" applyBorder="1" applyAlignment="1">
      <alignment wrapText="1"/>
      <protection/>
    </xf>
    <xf numFmtId="0" fontId="68" fillId="0" borderId="10" xfId="52" applyFont="1" applyFill="1" applyBorder="1">
      <alignment/>
      <protection/>
    </xf>
    <xf numFmtId="4" fontId="68" fillId="0" borderId="10" xfId="52" applyNumberFormat="1" applyFont="1" applyBorder="1" applyAlignment="1">
      <alignment horizontal="center"/>
      <protection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2" fontId="21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34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horizontal="center"/>
    </xf>
    <xf numFmtId="2" fontId="68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172" fontId="6" fillId="0" borderId="0" xfId="0" applyNumberFormat="1" applyFont="1" applyFill="1" applyAlignment="1">
      <alignment/>
    </xf>
    <xf numFmtId="3" fontId="22" fillId="0" borderId="10" xfId="0" applyNumberFormat="1" applyFont="1" applyFill="1" applyBorder="1" applyAlignment="1">
      <alignment horizontal="center"/>
    </xf>
    <xf numFmtId="1" fontId="68" fillId="0" borderId="10" xfId="0" applyNumberFormat="1" applyFont="1" applyFill="1" applyBorder="1" applyAlignment="1">
      <alignment horizontal="center"/>
    </xf>
    <xf numFmtId="180" fontId="22" fillId="0" borderId="10" xfId="0" applyNumberFormat="1" applyFont="1" applyFill="1" applyBorder="1" applyAlignment="1">
      <alignment horizontal="center"/>
    </xf>
    <xf numFmtId="0" fontId="12" fillId="0" borderId="10" xfId="56" applyFont="1" applyFill="1" applyBorder="1">
      <alignment/>
      <protection/>
    </xf>
    <xf numFmtId="3" fontId="12" fillId="0" borderId="10" xfId="56" applyNumberFormat="1" applyFont="1" applyFill="1" applyBorder="1" applyAlignment="1">
      <alignment horizontal="center"/>
      <protection/>
    </xf>
    <xf numFmtId="192" fontId="12" fillId="0" borderId="10" xfId="56" applyNumberFormat="1" applyFont="1" applyFill="1" applyBorder="1" applyAlignment="1">
      <alignment horizontal="center"/>
      <protection/>
    </xf>
    <xf numFmtId="0" fontId="22" fillId="0" borderId="0" xfId="53" applyFont="1" applyFill="1" applyAlignment="1">
      <alignment vertical="center" wrapText="1"/>
      <protection/>
    </xf>
    <xf numFmtId="0" fontId="22" fillId="0" borderId="0" xfId="53" applyFont="1" applyFill="1" applyBorder="1" applyAlignment="1">
      <alignment horizontal="right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68" fillId="0" borderId="12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53" applyFont="1" applyFill="1" applyBorder="1" applyAlignment="1">
      <alignment horizontal="center" wrapText="1"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180" fontId="22" fillId="0" borderId="10" xfId="53" applyNumberFormat="1" applyFont="1" applyFill="1" applyBorder="1" applyAlignment="1">
      <alignment horizontal="center" wrapText="1"/>
      <protection/>
    </xf>
    <xf numFmtId="180" fontId="6" fillId="0" borderId="10" xfId="53" applyNumberFormat="1" applyFont="1" applyFill="1" applyBorder="1" applyAlignment="1">
      <alignment horizont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/>
    </xf>
    <xf numFmtId="180" fontId="6" fillId="0" borderId="10" xfId="52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3" fillId="0" borderId="10" xfId="0" applyFont="1" applyBorder="1" applyAlignment="1">
      <alignment vertical="top" wrapText="1"/>
    </xf>
    <xf numFmtId="183" fontId="23" fillId="0" borderId="10" xfId="65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184" fontId="6" fillId="0" borderId="10" xfId="65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horizontal="left" vertical="top" wrapText="1" indent="2"/>
    </xf>
    <xf numFmtId="184" fontId="6" fillId="0" borderId="33" xfId="65" applyNumberFormat="1" applyFont="1" applyBorder="1" applyAlignment="1">
      <alignment horizontal="right" vertical="top" wrapText="1"/>
    </xf>
    <xf numFmtId="184" fontId="6" fillId="34" borderId="36" xfId="65" applyNumberFormat="1" applyFont="1" applyFill="1" applyBorder="1" applyAlignment="1">
      <alignment horizontal="right" vertical="top" wrapText="1"/>
    </xf>
    <xf numFmtId="184" fontId="6" fillId="34" borderId="37" xfId="65" applyNumberFormat="1" applyFont="1" applyFill="1" applyBorder="1" applyAlignment="1">
      <alignment horizontal="right" vertical="top" wrapText="1"/>
    </xf>
    <xf numFmtId="0" fontId="6" fillId="34" borderId="14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15" xfId="0" applyFont="1" applyBorder="1" applyAlignment="1">
      <alignment vertical="top" wrapText="1"/>
    </xf>
    <xf numFmtId="184" fontId="6" fillId="0" borderId="10" xfId="65" applyNumberFormat="1" applyFont="1" applyFill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43" fontId="6" fillId="0" borderId="14" xfId="65" applyNumberFormat="1" applyFont="1" applyFill="1" applyBorder="1" applyAlignment="1">
      <alignment horizontal="right" vertical="top" wrapText="1"/>
    </xf>
    <xf numFmtId="0" fontId="6" fillId="0" borderId="38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184" fontId="6" fillId="0" borderId="35" xfId="65" applyNumberFormat="1" applyFont="1" applyBorder="1" applyAlignment="1">
      <alignment horizontal="right" vertical="top"/>
    </xf>
    <xf numFmtId="184" fontId="6" fillId="0" borderId="39" xfId="65" applyNumberFormat="1" applyFont="1" applyFill="1" applyBorder="1" applyAlignment="1">
      <alignment horizontal="right" vertical="top" wrapText="1"/>
    </xf>
    <xf numFmtId="184" fontId="6" fillId="0" borderId="39" xfId="65" applyNumberFormat="1" applyFont="1" applyBorder="1" applyAlignment="1">
      <alignment horizontal="right" vertical="top" wrapText="1"/>
    </xf>
    <xf numFmtId="184" fontId="6" fillId="0" borderId="40" xfId="65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vertical="top" wrapText="1"/>
    </xf>
    <xf numFmtId="43" fontId="6" fillId="0" borderId="10" xfId="65" applyNumberFormat="1" applyFont="1" applyBorder="1" applyAlignment="1">
      <alignment horizontal="right" vertical="top" wrapText="1"/>
    </xf>
    <xf numFmtId="180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84" fontId="6" fillId="16" borderId="10" xfId="65" applyNumberFormat="1" applyFont="1" applyFill="1" applyBorder="1" applyAlignment="1">
      <alignment horizontal="right" vertical="top" wrapText="1"/>
    </xf>
    <xf numFmtId="0" fontId="6" fillId="16" borderId="10" xfId="0" applyFont="1" applyFill="1" applyBorder="1" applyAlignment="1">
      <alignment vertical="top" wrapText="1"/>
    </xf>
    <xf numFmtId="0" fontId="6" fillId="16" borderId="0" xfId="0" applyFont="1" applyFill="1" applyAlignment="1">
      <alignment vertical="top"/>
    </xf>
    <xf numFmtId="184" fontId="6" fillId="35" borderId="10" xfId="65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/>
    </xf>
    <xf numFmtId="184" fontId="23" fillId="0" borderId="10" xfId="65" applyNumberFormat="1" applyFont="1" applyBorder="1" applyAlignment="1">
      <alignment horizontal="right" vertical="top" wrapText="1"/>
    </xf>
    <xf numFmtId="0" fontId="23" fillId="34" borderId="41" xfId="0" applyFont="1" applyFill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184" fontId="6" fillId="0" borderId="43" xfId="65" applyNumberFormat="1" applyFont="1" applyBorder="1" applyAlignment="1">
      <alignment horizontal="right" vertical="top" wrapText="1"/>
    </xf>
    <xf numFmtId="184" fontId="6" fillId="0" borderId="35" xfId="65" applyNumberFormat="1" applyFont="1" applyBorder="1" applyAlignment="1">
      <alignment horizontal="right" vertical="top" wrapText="1"/>
    </xf>
    <xf numFmtId="0" fontId="23" fillId="34" borderId="44" xfId="0" applyFont="1" applyFill="1" applyBorder="1" applyAlignment="1">
      <alignment vertical="top" wrapText="1"/>
    </xf>
    <xf numFmtId="184" fontId="6" fillId="0" borderId="45" xfId="65" applyNumberFormat="1" applyFont="1" applyBorder="1" applyAlignment="1">
      <alignment horizontal="right" vertical="top" wrapText="1"/>
    </xf>
    <xf numFmtId="43" fontId="6" fillId="0" borderId="46" xfId="65" applyNumberFormat="1" applyFont="1" applyBorder="1" applyAlignment="1">
      <alignment horizontal="right" vertical="top" wrapText="1"/>
    </xf>
    <xf numFmtId="0" fontId="6" fillId="0" borderId="47" xfId="0" applyFont="1" applyBorder="1" applyAlignment="1">
      <alignment vertical="top" wrapText="1"/>
    </xf>
    <xf numFmtId="184" fontId="6" fillId="0" borderId="48" xfId="65" applyNumberFormat="1" applyFont="1" applyBorder="1" applyAlignment="1">
      <alignment horizontal="right" vertical="top" wrapText="1"/>
    </xf>
    <xf numFmtId="43" fontId="6" fillId="0" borderId="23" xfId="65" applyNumberFormat="1" applyFont="1" applyBorder="1" applyAlignment="1">
      <alignment horizontal="right" vertical="top" wrapText="1"/>
    </xf>
    <xf numFmtId="180" fontId="6" fillId="0" borderId="10" xfId="65" applyNumberFormat="1" applyFont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left" wrapText="1"/>
    </xf>
    <xf numFmtId="184" fontId="23" fillId="34" borderId="10" xfId="65" applyNumberFormat="1" applyFont="1" applyFill="1" applyBorder="1" applyAlignment="1">
      <alignment horizontal="right" wrapText="1"/>
    </xf>
    <xf numFmtId="0" fontId="15" fillId="0" borderId="10" xfId="52" applyFont="1" applyBorder="1" applyAlignment="1">
      <alignment horizontal="center" vertical="center" wrapText="1"/>
      <protection/>
    </xf>
    <xf numFmtId="173" fontId="6" fillId="0" borderId="10" xfId="52" applyNumberFormat="1" applyFont="1" applyBorder="1">
      <alignment/>
      <protection/>
    </xf>
    <xf numFmtId="0" fontId="71" fillId="0" borderId="10" xfId="0" applyFont="1" applyFill="1" applyBorder="1" applyAlignment="1">
      <alignment/>
    </xf>
    <xf numFmtId="173" fontId="6" fillId="0" borderId="10" xfId="52" applyNumberFormat="1" applyFont="1" applyFill="1" applyBorder="1">
      <alignment/>
      <protection/>
    </xf>
    <xf numFmtId="180" fontId="6" fillId="0" borderId="10" xfId="52" applyNumberFormat="1" applyFont="1" applyBorder="1">
      <alignment/>
      <protection/>
    </xf>
    <xf numFmtId="173" fontId="6" fillId="0" borderId="0" xfId="52" applyNumberFormat="1" applyFont="1">
      <alignment/>
      <protection/>
    </xf>
    <xf numFmtId="0" fontId="6" fillId="0" borderId="10" xfId="52" applyFont="1" applyBorder="1" applyAlignment="1">
      <alignment horizontal="center"/>
      <protection/>
    </xf>
    <xf numFmtId="0" fontId="7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71" fillId="0" borderId="0" xfId="0" applyNumberFormat="1" applyFont="1" applyBorder="1" applyAlignment="1">
      <alignment horizontal="center"/>
    </xf>
    <xf numFmtId="0" fontId="71" fillId="0" borderId="0" xfId="0" applyFont="1" applyAlignment="1">
      <alignment horizontal="right"/>
    </xf>
    <xf numFmtId="0" fontId="71" fillId="0" borderId="10" xfId="0" applyFont="1" applyBorder="1" applyAlignment="1">
      <alignment horizontal="center" vertical="center" wrapText="1"/>
    </xf>
    <xf numFmtId="180" fontId="71" fillId="0" borderId="10" xfId="0" applyNumberFormat="1" applyFont="1" applyBorder="1" applyAlignment="1">
      <alignment horizontal="center" vertical="center" wrapText="1"/>
    </xf>
    <xf numFmtId="180" fontId="71" fillId="0" borderId="10" xfId="0" applyNumberFormat="1" applyFont="1" applyBorder="1" applyAlignment="1">
      <alignment horizontal="center"/>
    </xf>
    <xf numFmtId="0" fontId="71" fillId="35" borderId="10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54" applyFont="1" applyFill="1" applyAlignment="1">
      <alignment horizontal="center" vertical="top" wrapText="1"/>
      <protection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4" fillId="0" borderId="0" xfId="52" applyFont="1" applyFill="1" applyAlignment="1">
      <alignment horizontal="center" wrapText="1"/>
      <protection/>
    </xf>
    <xf numFmtId="0" fontId="9" fillId="0" borderId="1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right"/>
      <protection/>
    </xf>
    <xf numFmtId="0" fontId="24" fillId="0" borderId="0" xfId="54" applyFont="1" applyAlignment="1">
      <alignment horizont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0" fillId="0" borderId="0" xfId="54" applyFont="1" applyAlignment="1">
      <alignment horizontal="center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top" wrapText="1"/>
      <protection/>
    </xf>
    <xf numFmtId="180" fontId="9" fillId="0" borderId="0" xfId="54" applyNumberFormat="1" applyFont="1" applyFill="1" applyAlignment="1">
      <alignment horizontal="center"/>
      <protection/>
    </xf>
    <xf numFmtId="0" fontId="9" fillId="0" borderId="0" xfId="54" applyFont="1" applyFill="1" applyAlignment="1">
      <alignment horizont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54" applyFont="1" applyFill="1" applyAlignment="1">
      <alignment horizontal="center"/>
      <protection/>
    </xf>
    <xf numFmtId="0" fontId="68" fillId="0" borderId="0" xfId="0" applyFont="1" applyAlignment="1">
      <alignment horizontal="center"/>
    </xf>
    <xf numFmtId="0" fontId="2" fillId="0" borderId="0" xfId="54" applyFont="1" applyFill="1" applyAlignment="1">
      <alignment horizontal="center" wrapText="1"/>
      <protection/>
    </xf>
    <xf numFmtId="180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2" fillId="0" borderId="10" xfId="54" applyNumberFormat="1" applyFont="1" applyFill="1" applyBorder="1" applyAlignment="1">
      <alignment horizontal="center" vertical="center" wrapText="1"/>
      <protection/>
    </xf>
    <xf numFmtId="0" fontId="14" fillId="0" borderId="4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center" wrapText="1"/>
      <protection/>
    </xf>
    <xf numFmtId="0" fontId="1" fillId="0" borderId="0" xfId="54" applyFont="1" applyFill="1" applyAlignment="1">
      <alignment horizontal="center"/>
      <protection/>
    </xf>
    <xf numFmtId="180" fontId="5" fillId="0" borderId="10" xfId="0" applyNumberFormat="1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196" fontId="1" fillId="0" borderId="10" xfId="67" applyNumberFormat="1" applyFont="1" applyFill="1" applyBorder="1" applyAlignment="1">
      <alignment horizontal="center"/>
    </xf>
    <xf numFmtId="0" fontId="1" fillId="0" borderId="0" xfId="54" applyFont="1" applyFill="1" applyAlignment="1">
      <alignment horizontal="center" wrapText="1"/>
      <protection/>
    </xf>
    <xf numFmtId="4" fontId="1" fillId="0" borderId="10" xfId="55" applyNumberFormat="1" applyFont="1" applyFill="1" applyBorder="1" applyAlignment="1">
      <alignment horizontal="left" wrapText="1"/>
      <protection/>
    </xf>
    <xf numFmtId="196" fontId="5" fillId="0" borderId="10" xfId="67" applyNumberFormat="1" applyFont="1" applyFill="1" applyBorder="1" applyAlignment="1">
      <alignment horizontal="center"/>
    </xf>
    <xf numFmtId="4" fontId="12" fillId="0" borderId="10" xfId="54" applyNumberFormat="1" applyFont="1" applyFill="1" applyBorder="1" applyAlignment="1">
      <alignment horizontal="left" wrapText="1"/>
      <protection/>
    </xf>
    <xf numFmtId="0" fontId="1" fillId="0" borderId="10" xfId="54" applyFont="1" applyFill="1" applyBorder="1" applyAlignment="1">
      <alignment horizontal="center"/>
      <protection/>
    </xf>
    <xf numFmtId="197" fontId="5" fillId="0" borderId="10" xfId="67" applyNumberFormat="1" applyFont="1" applyFill="1" applyBorder="1" applyAlignment="1">
      <alignment horizontal="center"/>
    </xf>
    <xf numFmtId="3" fontId="12" fillId="0" borderId="10" xfId="54" applyNumberFormat="1" applyFont="1" applyFill="1" applyBorder="1" applyAlignment="1">
      <alignment horizontal="center"/>
      <protection/>
    </xf>
    <xf numFmtId="4" fontId="12" fillId="0" borderId="10" xfId="54" applyNumberFormat="1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horizontal="left" vertical="center" wrapText="1"/>
      <protection/>
    </xf>
    <xf numFmtId="0" fontId="1" fillId="0" borderId="0" xfId="54" applyFont="1" applyFill="1" applyAlignment="1">
      <alignment horizontal="left" vertical="center" wrapText="1"/>
      <protection/>
    </xf>
    <xf numFmtId="2" fontId="69" fillId="0" borderId="0" xfId="0" applyNumberFormat="1" applyFont="1" applyAlignment="1">
      <alignment horizontal="center" vertical="top" wrapText="1"/>
    </xf>
    <xf numFmtId="2" fontId="6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10" xfId="56" applyFont="1" applyFill="1" applyBorder="1" applyAlignment="1">
      <alignment horizontal="center" vertical="center" wrapText="1"/>
      <protection/>
    </xf>
    <xf numFmtId="2" fontId="68" fillId="0" borderId="0" xfId="0" applyNumberFormat="1" applyFont="1" applyFill="1" applyAlignment="1">
      <alignment horizontal="center" vertical="top" wrapText="1"/>
    </xf>
    <xf numFmtId="0" fontId="70" fillId="0" borderId="0" xfId="0" applyFont="1" applyFill="1" applyAlignment="1">
      <alignment horizontal="center"/>
    </xf>
    <xf numFmtId="0" fontId="68" fillId="0" borderId="24" xfId="0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33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3" fontId="68" fillId="0" borderId="16" xfId="0" applyNumberFormat="1" applyFont="1" applyBorder="1" applyAlignment="1">
      <alignment horizontal="center" vertical="center" wrapText="1"/>
    </xf>
    <xf numFmtId="3" fontId="68" fillId="0" borderId="53" xfId="0" applyNumberFormat="1" applyFont="1" applyBorder="1" applyAlignment="1">
      <alignment horizontal="center" vertical="center" wrapText="1"/>
    </xf>
    <xf numFmtId="3" fontId="68" fillId="0" borderId="14" xfId="0" applyNumberFormat="1" applyFont="1" applyBorder="1" applyAlignment="1">
      <alignment horizontal="center" vertical="center" wrapText="1"/>
    </xf>
    <xf numFmtId="180" fontId="68" fillId="0" borderId="10" xfId="0" applyNumberFormat="1" applyFont="1" applyBorder="1" applyAlignment="1">
      <alignment horizontal="center"/>
    </xf>
    <xf numFmtId="3" fontId="68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3" fontId="68" fillId="0" borderId="10" xfId="0" applyNumberFormat="1" applyFont="1" applyBorder="1" applyAlignment="1">
      <alignment horizontal="center" vertical="center" wrapText="1"/>
    </xf>
    <xf numFmtId="0" fontId="68" fillId="0" borderId="10" xfId="52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 wrapText="1"/>
      <protection/>
    </xf>
    <xf numFmtId="0" fontId="68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43" fontId="6" fillId="0" borderId="10" xfId="63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0" xfId="52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68" fillId="0" borderId="0" xfId="0" applyFont="1" applyFill="1" applyAlignment="1">
      <alignment horizontal="center"/>
    </xf>
    <xf numFmtId="2" fontId="70" fillId="0" borderId="0" xfId="0" applyNumberFormat="1" applyFont="1" applyFill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2" fillId="0" borderId="33" xfId="53" applyFont="1" applyFill="1" applyBorder="1" applyAlignment="1">
      <alignment horizontal="center" vertical="center" wrapText="1"/>
      <protection/>
    </xf>
    <xf numFmtId="0" fontId="22" fillId="0" borderId="12" xfId="53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22" fillId="0" borderId="0" xfId="53" applyFont="1" applyFill="1" applyBorder="1" applyAlignment="1">
      <alignment horizontal="center" vertical="center" wrapText="1"/>
      <protection/>
    </xf>
    <xf numFmtId="0" fontId="22" fillId="0" borderId="0" xfId="53" applyFont="1" applyFill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73" fillId="0" borderId="12" xfId="53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0" fontId="68" fillId="0" borderId="0" xfId="52" applyFont="1" applyAlignment="1">
      <alignment horizontal="center" wrapText="1"/>
      <protection/>
    </xf>
    <xf numFmtId="0" fontId="68" fillId="0" borderId="34" xfId="52" applyFont="1" applyBorder="1" applyAlignment="1">
      <alignment horizont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84" fontId="6" fillId="0" borderId="33" xfId="66" applyNumberFormat="1" applyFont="1" applyFill="1" applyBorder="1" applyAlignment="1">
      <alignment horizontal="center" vertical="center" wrapText="1"/>
    </xf>
    <xf numFmtId="184" fontId="6" fillId="0" borderId="35" xfId="66" applyNumberFormat="1" applyFont="1" applyFill="1" applyBorder="1" applyAlignment="1">
      <alignment horizontal="center" vertical="center" wrapText="1"/>
    </xf>
    <xf numFmtId="184" fontId="6" fillId="0" borderId="12" xfId="66" applyNumberFormat="1" applyFont="1" applyFill="1" applyBorder="1" applyAlignment="1">
      <alignment horizontal="center" vertical="center" wrapText="1"/>
    </xf>
    <xf numFmtId="43" fontId="6" fillId="0" borderId="35" xfId="66" applyNumberFormat="1" applyFont="1" applyFill="1" applyBorder="1" applyAlignment="1">
      <alignment vertical="center" wrapText="1"/>
    </xf>
    <xf numFmtId="43" fontId="6" fillId="0" borderId="12" xfId="66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3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52" applyFont="1" applyAlignment="1">
      <alignment horizontal="center" wrapText="1"/>
      <protection/>
    </xf>
    <xf numFmtId="0" fontId="1" fillId="0" borderId="34" xfId="52" applyFont="1" applyBorder="1" applyAlignment="1">
      <alignment horizontal="right"/>
      <protection/>
    </xf>
    <xf numFmtId="0" fontId="0" fillId="0" borderId="34" xfId="0" applyFont="1" applyBorder="1" applyAlignment="1">
      <alignment/>
    </xf>
    <xf numFmtId="0" fontId="0" fillId="0" borderId="0" xfId="0" applyAlignment="1">
      <alignment horizontal="center"/>
    </xf>
    <xf numFmtId="0" fontId="71" fillId="0" borderId="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5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171450</xdr:colOff>
      <xdr:row>16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67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171450</xdr:colOff>
      <xdr:row>16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67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171450</xdr:colOff>
      <xdr:row>15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3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171450</xdr:colOff>
      <xdr:row>15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3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171450</xdr:colOff>
      <xdr:row>15</xdr:row>
      <xdr:rowOff>152400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3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171450</xdr:colOff>
      <xdr:row>15</xdr:row>
      <xdr:rowOff>152400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3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6"/>
  <sheetViews>
    <sheetView zoomScaleSheetLayoutView="80" zoomScalePageLayoutView="0" workbookViewId="0" topLeftCell="A2">
      <pane xSplit="6" ySplit="11" topLeftCell="G13" activePane="bottomRight" state="frozen"/>
      <selection pane="topLeft" activeCell="A2" sqref="A2"/>
      <selection pane="topRight" activeCell="G2" sqref="G2"/>
      <selection pane="bottomLeft" activeCell="A13" sqref="A13"/>
      <selection pane="bottomRight" activeCell="F13" sqref="F13"/>
    </sheetView>
  </sheetViews>
  <sheetFormatPr defaultColWidth="9.00390625" defaultRowHeight="41.25" customHeight="1"/>
  <cols>
    <col min="1" max="1" width="40.375" style="1" customWidth="1"/>
    <col min="2" max="2" width="0" style="1" hidden="1" customWidth="1"/>
    <col min="3" max="3" width="10.875" style="1" customWidth="1"/>
    <col min="4" max="4" width="10.625" style="1" customWidth="1"/>
    <col min="5" max="5" width="11.125" style="1" customWidth="1"/>
    <col min="6" max="6" width="12.25390625" style="1" customWidth="1"/>
    <col min="7" max="7" width="11.25390625" style="1" customWidth="1"/>
    <col min="8" max="8" width="10.25390625" style="1" customWidth="1"/>
    <col min="9" max="10" width="11.75390625" style="1" customWidth="1"/>
    <col min="11" max="11" width="11.875" style="1" customWidth="1"/>
    <col min="12" max="12" width="9.875" style="1" customWidth="1"/>
    <col min="13" max="16384" width="9.125" style="1" customWidth="1"/>
  </cols>
  <sheetData>
    <row r="1" spans="1:12" ht="21.75" customHeight="1">
      <c r="A1" s="471" t="s">
        <v>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ht="58.5" customHeight="1">
      <c r="A2" s="472" t="s">
        <v>554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</row>
    <row r="3" spans="1:12" ht="12.75" customHeight="1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</row>
    <row r="4" spans="1:12" ht="20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74" t="s">
        <v>30</v>
      </c>
      <c r="L4" s="474"/>
    </row>
    <row r="5" spans="1:12" s="7" customFormat="1" ht="51">
      <c r="A5" s="2" t="s">
        <v>3</v>
      </c>
      <c r="B5" s="2">
        <v>2009</v>
      </c>
      <c r="C5" s="2" t="s">
        <v>10</v>
      </c>
      <c r="D5" s="2" t="s">
        <v>113</v>
      </c>
      <c r="E5" s="2" t="s">
        <v>119</v>
      </c>
      <c r="F5" s="2" t="s">
        <v>118</v>
      </c>
      <c r="G5" s="2" t="s">
        <v>112</v>
      </c>
      <c r="H5" s="2" t="s">
        <v>109</v>
      </c>
      <c r="I5" s="2" t="s">
        <v>117</v>
      </c>
      <c r="J5" s="2" t="s">
        <v>116</v>
      </c>
      <c r="K5" s="2" t="s">
        <v>165</v>
      </c>
      <c r="L5" s="470" t="s">
        <v>16</v>
      </c>
    </row>
    <row r="6" spans="1:12" s="7" customFormat="1" ht="12.75">
      <c r="A6" s="251" t="s">
        <v>17</v>
      </c>
      <c r="B6" s="2"/>
      <c r="C6" s="470" t="s">
        <v>18</v>
      </c>
      <c r="D6" s="470"/>
      <c r="E6" s="470" t="s">
        <v>19</v>
      </c>
      <c r="F6" s="470"/>
      <c r="G6" s="2" t="s">
        <v>20</v>
      </c>
      <c r="H6" s="470" t="s">
        <v>19</v>
      </c>
      <c r="I6" s="470"/>
      <c r="J6" s="2" t="s">
        <v>20</v>
      </c>
      <c r="K6" s="2" t="s">
        <v>19</v>
      </c>
      <c r="L6" s="470"/>
    </row>
    <row r="7" spans="1:12" ht="15" customHeight="1">
      <c r="A7" s="67" t="s">
        <v>21</v>
      </c>
      <c r="B7" s="4"/>
      <c r="C7" s="3">
        <f aca="true" t="shared" si="0" ref="C7:K7">SUM(C9:C11)</f>
        <v>2</v>
      </c>
      <c r="D7" s="3">
        <f t="shared" si="0"/>
        <v>2</v>
      </c>
      <c r="E7" s="3">
        <f t="shared" si="0"/>
        <v>2</v>
      </c>
      <c r="F7" s="3">
        <f t="shared" si="0"/>
        <v>2</v>
      </c>
      <c r="G7" s="3">
        <f t="shared" si="0"/>
        <v>1</v>
      </c>
      <c r="H7" s="3">
        <f t="shared" si="0"/>
        <v>2</v>
      </c>
      <c r="I7" s="3">
        <f t="shared" si="0"/>
        <v>2</v>
      </c>
      <c r="J7" s="3">
        <f t="shared" si="0"/>
        <v>1</v>
      </c>
      <c r="K7" s="3">
        <f t="shared" si="0"/>
        <v>2</v>
      </c>
      <c r="L7" s="3">
        <f>SUM(C7:K7)</f>
        <v>16</v>
      </c>
    </row>
    <row r="8" spans="1:12" ht="12.75" customHeight="1">
      <c r="A8" s="252" t="s">
        <v>13</v>
      </c>
      <c r="B8" s="4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67" t="s">
        <v>22</v>
      </c>
      <c r="B9" s="4"/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f>SUM(C9:K9)</f>
        <v>9</v>
      </c>
    </row>
    <row r="10" spans="1:12" ht="12.75">
      <c r="A10" s="67" t="s">
        <v>23</v>
      </c>
      <c r="B10" s="4"/>
      <c r="C10" s="3"/>
      <c r="D10" s="3"/>
      <c r="E10" s="3">
        <v>1</v>
      </c>
      <c r="F10" s="3">
        <v>1</v>
      </c>
      <c r="G10" s="3"/>
      <c r="H10" s="3">
        <v>1</v>
      </c>
      <c r="I10" s="3">
        <v>1</v>
      </c>
      <c r="J10" s="3"/>
      <c r="K10" s="3"/>
      <c r="L10" s="3">
        <f>SUM(C10:K10)</f>
        <v>4</v>
      </c>
    </row>
    <row r="11" spans="1:12" ht="12.75">
      <c r="A11" s="67" t="s">
        <v>24</v>
      </c>
      <c r="B11" s="4"/>
      <c r="C11" s="3">
        <v>1</v>
      </c>
      <c r="D11" s="3">
        <v>1</v>
      </c>
      <c r="E11" s="3"/>
      <c r="F11" s="3"/>
      <c r="G11" s="3"/>
      <c r="H11" s="3"/>
      <c r="I11" s="3"/>
      <c r="J11" s="3"/>
      <c r="K11" s="3">
        <v>1</v>
      </c>
      <c r="L11" s="3">
        <f>SUM(C11:K11)</f>
        <v>3</v>
      </c>
    </row>
    <row r="12" spans="1:12" s="7" customFormat="1" ht="40.5" customHeight="1" hidden="1">
      <c r="A12" s="2" t="s">
        <v>3</v>
      </c>
      <c r="B12" s="2">
        <v>2009</v>
      </c>
      <c r="C12" s="2" t="s">
        <v>10</v>
      </c>
      <c r="D12" s="2" t="s">
        <v>0</v>
      </c>
      <c r="E12" s="2" t="s">
        <v>7</v>
      </c>
      <c r="F12" s="2" t="s">
        <v>6</v>
      </c>
      <c r="G12" s="2" t="s">
        <v>2</v>
      </c>
      <c r="H12" s="2" t="s">
        <v>5</v>
      </c>
      <c r="I12" s="2" t="s">
        <v>11</v>
      </c>
      <c r="J12" s="2" t="s">
        <v>1</v>
      </c>
      <c r="K12" s="2" t="s">
        <v>8</v>
      </c>
      <c r="L12" s="2" t="s">
        <v>16</v>
      </c>
    </row>
    <row r="13" spans="1:12" ht="14.25" customHeight="1">
      <c r="A13" s="4" t="s">
        <v>111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4.25" customHeight="1">
      <c r="A14" s="67" t="s">
        <v>22</v>
      </c>
      <c r="B14" s="4"/>
      <c r="C14" s="5">
        <v>5.807</v>
      </c>
      <c r="D14" s="5">
        <v>5.807</v>
      </c>
      <c r="E14" s="5">
        <v>5.807</v>
      </c>
      <c r="F14" s="5">
        <v>5.807</v>
      </c>
      <c r="G14" s="5">
        <v>5.807</v>
      </c>
      <c r="H14" s="5">
        <v>5.807</v>
      </c>
      <c r="I14" s="5">
        <v>5.807</v>
      </c>
      <c r="J14" s="5">
        <v>5.807</v>
      </c>
      <c r="K14" s="5">
        <v>5.807</v>
      </c>
      <c r="L14" s="5"/>
    </row>
    <row r="15" spans="1:12" ht="21.75" customHeight="1">
      <c r="A15" s="67" t="s">
        <v>23</v>
      </c>
      <c r="B15" s="4"/>
      <c r="C15" s="5"/>
      <c r="D15" s="5"/>
      <c r="E15" s="5">
        <v>5.321</v>
      </c>
      <c r="F15" s="5">
        <v>5.321</v>
      </c>
      <c r="G15" s="5"/>
      <c r="H15" s="5">
        <v>5.321</v>
      </c>
      <c r="I15" s="5">
        <v>5.321</v>
      </c>
      <c r="J15" s="5"/>
      <c r="K15" s="5"/>
      <c r="L15" s="5"/>
    </row>
    <row r="16" spans="1:12" ht="30.75" customHeight="1">
      <c r="A16" s="67" t="s">
        <v>25</v>
      </c>
      <c r="B16" s="4"/>
      <c r="C16" s="5">
        <v>6.41</v>
      </c>
      <c r="D16" s="5">
        <v>6.41</v>
      </c>
      <c r="E16" s="5"/>
      <c r="F16" s="5"/>
      <c r="G16" s="5"/>
      <c r="H16" s="5"/>
      <c r="I16" s="5"/>
      <c r="J16" s="5"/>
      <c r="K16" s="5">
        <v>6.41</v>
      </c>
      <c r="L16" s="5"/>
    </row>
    <row r="17" spans="1:12" ht="14.25" customHeight="1" hidden="1">
      <c r="A17" s="67"/>
      <c r="B17" s="4"/>
      <c r="C17" s="5">
        <f>SUM(C14:C16)</f>
        <v>12.217</v>
      </c>
      <c r="D17" s="5">
        <f aca="true" t="shared" si="1" ref="D17:K17">SUM(D14:D16)</f>
        <v>12.217</v>
      </c>
      <c r="E17" s="5">
        <f t="shared" si="1"/>
        <v>11.128</v>
      </c>
      <c r="F17" s="5">
        <f t="shared" si="1"/>
        <v>11.128</v>
      </c>
      <c r="G17" s="5">
        <f t="shared" si="1"/>
        <v>5.807</v>
      </c>
      <c r="H17" s="5">
        <f t="shared" si="1"/>
        <v>11.128</v>
      </c>
      <c r="I17" s="5">
        <f t="shared" si="1"/>
        <v>11.128</v>
      </c>
      <c r="J17" s="5">
        <f t="shared" si="1"/>
        <v>5.807</v>
      </c>
      <c r="K17" s="5">
        <f t="shared" si="1"/>
        <v>12.217</v>
      </c>
      <c r="L17" s="5"/>
    </row>
    <row r="18" spans="1:12" ht="74.25" customHeight="1">
      <c r="A18" s="67" t="s">
        <v>276</v>
      </c>
      <c r="B18" s="4"/>
      <c r="C18" s="5">
        <v>9.167</v>
      </c>
      <c r="D18" s="5">
        <v>9.167</v>
      </c>
      <c r="E18" s="5">
        <v>9.167</v>
      </c>
      <c r="F18" s="5">
        <v>9.167</v>
      </c>
      <c r="G18" s="5">
        <v>9.167</v>
      </c>
      <c r="H18" s="5">
        <v>9.167</v>
      </c>
      <c r="I18" s="5">
        <v>9.167</v>
      </c>
      <c r="J18" s="5">
        <v>9.9</v>
      </c>
      <c r="K18" s="5">
        <v>9.167</v>
      </c>
      <c r="L18" s="5"/>
    </row>
    <row r="19" spans="1:12" ht="113.25" customHeight="1">
      <c r="A19" s="67" t="s">
        <v>277</v>
      </c>
      <c r="B19" s="4"/>
      <c r="C19" s="5">
        <v>0.302</v>
      </c>
      <c r="D19" s="5">
        <v>0.302</v>
      </c>
      <c r="E19" s="5">
        <v>0.302</v>
      </c>
      <c r="F19" s="5">
        <v>0.302</v>
      </c>
      <c r="G19" s="5">
        <v>0.302</v>
      </c>
      <c r="H19" s="5">
        <v>0.302</v>
      </c>
      <c r="I19" s="5">
        <v>0.302</v>
      </c>
      <c r="J19" s="5">
        <v>0.302</v>
      </c>
      <c r="K19" s="5">
        <v>0.302</v>
      </c>
      <c r="L19" s="5"/>
    </row>
    <row r="20" spans="1:12" ht="24.75" customHeight="1">
      <c r="A20" s="67" t="s">
        <v>278</v>
      </c>
      <c r="B20" s="4"/>
      <c r="C20" s="8">
        <f>22.3*1.055*1.05*1.05</f>
        <v>25.937966250000002</v>
      </c>
      <c r="D20" s="8">
        <f aca="true" t="shared" si="2" ref="D20:K20">22.3*1.055*1.05*1.05</f>
        <v>25.937966250000002</v>
      </c>
      <c r="E20" s="8">
        <f t="shared" si="2"/>
        <v>25.937966250000002</v>
      </c>
      <c r="F20" s="8">
        <f t="shared" si="2"/>
        <v>25.937966250000002</v>
      </c>
      <c r="G20" s="8">
        <f>F20*0.5</f>
        <v>12.968983125000001</v>
      </c>
      <c r="H20" s="8">
        <f t="shared" si="2"/>
        <v>25.937966250000002</v>
      </c>
      <c r="I20" s="8">
        <f t="shared" si="2"/>
        <v>25.937966250000002</v>
      </c>
      <c r="J20" s="8">
        <f>I20*0.5</f>
        <v>12.968983125000001</v>
      </c>
      <c r="K20" s="8">
        <f t="shared" si="2"/>
        <v>25.937966250000002</v>
      </c>
      <c r="L20" s="8"/>
    </row>
    <row r="21" spans="1:12" ht="15.75" customHeight="1">
      <c r="A21" s="67" t="s">
        <v>279</v>
      </c>
      <c r="B21" s="4"/>
      <c r="C21" s="8">
        <f>14.2*1.055</f>
        <v>14.980999999999998</v>
      </c>
      <c r="D21" s="8">
        <f>14.2*1.055</f>
        <v>14.980999999999998</v>
      </c>
      <c r="E21" s="8">
        <f>14.2*1.055</f>
        <v>14.980999999999998</v>
      </c>
      <c r="F21" s="8">
        <f>14.2*1.055</f>
        <v>14.980999999999998</v>
      </c>
      <c r="G21" s="8">
        <f>F21*0.5</f>
        <v>7.490499999999999</v>
      </c>
      <c r="H21" s="8">
        <f>14.2*1.055</f>
        <v>14.980999999999998</v>
      </c>
      <c r="I21" s="8">
        <f>14.2*1.055</f>
        <v>14.980999999999998</v>
      </c>
      <c r="J21" s="8">
        <f>I21*0.5</f>
        <v>7.490499999999999</v>
      </c>
      <c r="K21" s="8">
        <f>14.2*1.055</f>
        <v>14.980999999999998</v>
      </c>
      <c r="L21" s="8"/>
    </row>
    <row r="22" spans="1:12" ht="26.25" customHeight="1">
      <c r="A22" s="67" t="s">
        <v>280</v>
      </c>
      <c r="B22" s="4"/>
      <c r="C22" s="8">
        <f>18.6*1.055*1.05</f>
        <v>20.60415</v>
      </c>
      <c r="D22" s="8">
        <f aca="true" t="shared" si="3" ref="D22:K22">18.6*1.055*1.05</f>
        <v>20.60415</v>
      </c>
      <c r="E22" s="8">
        <f t="shared" si="3"/>
        <v>20.60415</v>
      </c>
      <c r="F22" s="8">
        <f t="shared" si="3"/>
        <v>20.60415</v>
      </c>
      <c r="G22" s="8">
        <f>F22*0.5</f>
        <v>10.302075</v>
      </c>
      <c r="H22" s="8">
        <f t="shared" si="3"/>
        <v>20.60415</v>
      </c>
      <c r="I22" s="8">
        <f t="shared" si="3"/>
        <v>20.60415</v>
      </c>
      <c r="J22" s="8">
        <f>I22*0.5</f>
        <v>10.302075</v>
      </c>
      <c r="K22" s="8">
        <f t="shared" si="3"/>
        <v>20.60415</v>
      </c>
      <c r="L22" s="8"/>
    </row>
    <row r="23" spans="1:12" ht="12.75" customHeight="1">
      <c r="A23" s="67" t="s">
        <v>281</v>
      </c>
      <c r="B23" s="9"/>
      <c r="C23" s="8">
        <f>6.6*1.055</f>
        <v>6.962999999999999</v>
      </c>
      <c r="D23" s="8">
        <f>6.6*1.055</f>
        <v>6.962999999999999</v>
      </c>
      <c r="E23" s="8">
        <f>6.6*1.055</f>
        <v>6.962999999999999</v>
      </c>
      <c r="F23" s="8">
        <f>6.6*1.055</f>
        <v>6.962999999999999</v>
      </c>
      <c r="G23" s="8">
        <f>F23*0.5</f>
        <v>3.4814999999999996</v>
      </c>
      <c r="H23" s="8">
        <f>6.6*1.055</f>
        <v>6.962999999999999</v>
      </c>
      <c r="I23" s="8">
        <f>6.6*1.055</f>
        <v>6.962999999999999</v>
      </c>
      <c r="J23" s="8">
        <f>I23*0.5</f>
        <v>3.4814999999999996</v>
      </c>
      <c r="K23" s="8">
        <f>6.6*1.055</f>
        <v>6.962999999999999</v>
      </c>
      <c r="L23" s="8"/>
    </row>
    <row r="24" spans="1:12" ht="24.75" customHeight="1">
      <c r="A24" s="67" t="s">
        <v>282</v>
      </c>
      <c r="B24" s="4"/>
      <c r="C24" s="8">
        <f>17.5*1.055</f>
        <v>18.4625</v>
      </c>
      <c r="D24" s="8">
        <f>17.5*1.055</f>
        <v>18.4625</v>
      </c>
      <c r="E24" s="8">
        <f>17.5*1.055</f>
        <v>18.4625</v>
      </c>
      <c r="F24" s="8">
        <f>17.5*1.055</f>
        <v>18.4625</v>
      </c>
      <c r="G24" s="8">
        <f>F24*0.5</f>
        <v>9.23125</v>
      </c>
      <c r="H24" s="8">
        <f>17.5*1.055</f>
        <v>18.4625</v>
      </c>
      <c r="I24" s="8">
        <f>17.5*1.055</f>
        <v>18.4625</v>
      </c>
      <c r="J24" s="8">
        <f>I24*0.5</f>
        <v>9.23125</v>
      </c>
      <c r="K24" s="8">
        <f>17.5*1.055</f>
        <v>18.4625</v>
      </c>
      <c r="L24" s="8"/>
    </row>
    <row r="25" spans="1:12" ht="27" customHeight="1">
      <c r="A25" s="67" t="s">
        <v>283</v>
      </c>
      <c r="B25" s="4"/>
      <c r="C25" s="8">
        <v>70</v>
      </c>
      <c r="D25" s="8">
        <v>70</v>
      </c>
      <c r="E25" s="8">
        <v>70</v>
      </c>
      <c r="F25" s="8">
        <v>70</v>
      </c>
      <c r="G25" s="8">
        <v>35</v>
      </c>
      <c r="H25" s="8">
        <v>70</v>
      </c>
      <c r="I25" s="8">
        <v>70</v>
      </c>
      <c r="J25" s="8">
        <v>35</v>
      </c>
      <c r="K25" s="8">
        <v>70</v>
      </c>
      <c r="L25" s="8"/>
    </row>
    <row r="26" spans="1:14" s="10" customFormat="1" ht="15.75" customHeight="1" hidden="1">
      <c r="A26" s="253" t="s">
        <v>28</v>
      </c>
      <c r="B26" s="4"/>
      <c r="C26" s="8">
        <f>(C17*12*2.5)+((C17*C18)+(C17*C18)*0.302)*12+C20+C21+C22+C23+C24+C25</f>
        <v>2273.2409823860007</v>
      </c>
      <c r="D26" s="8">
        <f aca="true" t="shared" si="4" ref="D26:K26">(D17*12*2.5)+((D17*D18)+(D17*D18)*0.302)*12+D20+D21+D22+D23+D24+D25</f>
        <v>2273.2409823860007</v>
      </c>
      <c r="E26" s="8">
        <f t="shared" si="4"/>
        <v>2084.5987308739996</v>
      </c>
      <c r="F26" s="8">
        <f t="shared" si="4"/>
        <v>2084.5987308739996</v>
      </c>
      <c r="G26" s="8">
        <f t="shared" si="4"/>
        <v>1084.3930909810003</v>
      </c>
      <c r="H26" s="8">
        <f t="shared" si="4"/>
        <v>2084.5987308739996</v>
      </c>
      <c r="I26" s="8">
        <f t="shared" si="4"/>
        <v>2084.5987308739996</v>
      </c>
      <c r="J26" s="8">
        <f t="shared" si="4"/>
        <v>1150.8971313250004</v>
      </c>
      <c r="K26" s="8">
        <f t="shared" si="4"/>
        <v>2273.2409823860007</v>
      </c>
      <c r="L26" s="8">
        <f>SUM(C26:K26)+0.1</f>
        <v>17393.50809296</v>
      </c>
      <c r="N26" s="38" t="e">
        <f>L26-#REF!</f>
        <v>#REF!</v>
      </c>
    </row>
    <row r="27" spans="1:12" ht="1.5" customHeight="1" hidden="1">
      <c r="A27" s="253" t="s">
        <v>26</v>
      </c>
      <c r="B27" s="9" t="e">
        <f>#REF!+#REF!</f>
        <v>#REF!</v>
      </c>
      <c r="C27" s="8" t="e">
        <f>(#REF!+#REF!*#REF!)*3*1.302+(#REF!+#REF!*C19)*3*1.302+(C13+C13*C19)*3*1.302+(C18+C18*C19)*3*1.302+C21+C22+C23+C24+C26</f>
        <v>#REF!</v>
      </c>
      <c r="D27" s="8" t="e">
        <f>(#REF!+#REF!*#REF!)*3*1.302+(#REF!+#REF!*D19)*3*1.302+(D13+D13*D19)*3*1.302+(D18+D18*D19)*3*1.302+D21+D22+D23+D24+D26</f>
        <v>#REF!</v>
      </c>
      <c r="E27" s="8" t="e">
        <f>(#REF!+#REF!*#REF!)*3*1.302+(#REF!+#REF!*E19)*3*1.302+(E13+E13*E19)*3*1.302+(E18+E18*E19)*3*1.302+E21+E22+E23+E24+E26</f>
        <v>#REF!</v>
      </c>
      <c r="F27" s="8" t="e">
        <f>(#REF!+#REF!*#REF!)*3*1.302+(#REF!+#REF!*F19)*3*1.302+(F13+F13*F19)*3*1.302+(F18+F18*F19)*3*1.302+F21+F22+F23+F24+F26</f>
        <v>#REF!</v>
      </c>
      <c r="G27" s="8" t="e">
        <f>(#REF!+#REF!*#REF!)*3*1.302+(#REF!+#REF!*G19)*3*1.302+(G13+G13*G19)*3*1.302+(G18+G18*G19)*3*1.302+G21+G22+G23+G24+G26</f>
        <v>#REF!</v>
      </c>
      <c r="H27" s="8" t="e">
        <f>(#REF!+#REF!*#REF!)*3*1.302+(#REF!+#REF!*H19)*3*1.302+(H13+H13*H19)*3*1.302+(H18+H18*H19)*3*1.302+H21+H22+H23+H24+H26</f>
        <v>#REF!</v>
      </c>
      <c r="I27" s="8" t="e">
        <f>(#REF!+#REF!*#REF!)*3*1.302+(#REF!+#REF!*I19)*3*1.302+(I13+I13*I19)*3*1.302+(I18+I18*I19)*3*1.302+I21+I22+I23+I24+I26</f>
        <v>#REF!</v>
      </c>
      <c r="J27" s="8" t="e">
        <f>(#REF!+#REF!*#REF!)*3*1.302+(#REF!+#REF!*J19)*3*1.302+(J13+J13*J19)*3*1.302+(J18+J18*J19)*3*1.302+J21+J22+J23+J24+J26</f>
        <v>#REF!</v>
      </c>
      <c r="K27" s="8" t="e">
        <f>(#REF!+#REF!*#REF!)*3*1.302+(#REF!+#REF!*K19)*3*1.302+(K13+K13*K19)*3*1.302+(K18+K18*K19)*3*1.302+K21+K22+K23+K24+K26</f>
        <v>#REF!</v>
      </c>
      <c r="L27" s="8" t="e">
        <f aca="true" t="shared" si="5" ref="L27:L32">SUM(C27:K27)+0.1</f>
        <v>#REF!</v>
      </c>
    </row>
    <row r="28" spans="1:12" ht="24" customHeight="1" hidden="1">
      <c r="A28" s="253"/>
      <c r="B28" s="4"/>
      <c r="C28" s="8" t="e">
        <f>(#REF!+#REF!*C19)*3*1.302+(#REF!+#REF!*C20)*3*1.302+(C14+C14*C20)*3*1.302+(#REF!+#REF!*C20)*3*1.302+C22+C23+C24+C26+C27</f>
        <v>#REF!</v>
      </c>
      <c r="D28" s="8" t="e">
        <f>(#REF!+#REF!*D19)*3*1.302+(#REF!+#REF!*D20)*3*1.302+(D14+D14*D20)*3*1.302+(#REF!+#REF!*D20)*3*1.302+D22+D23+D24+D26+D27</f>
        <v>#REF!</v>
      </c>
      <c r="E28" s="8" t="e">
        <f>(#REF!+#REF!*E19)*3*1.302+(#REF!+#REF!*E20)*3*1.302+(E14+E14*E20)*3*1.302+(#REF!+#REF!*E20)*3*1.302+E22+E23+E24+E26+E27</f>
        <v>#REF!</v>
      </c>
      <c r="F28" s="8" t="e">
        <f>(#REF!+#REF!*F19)*3*1.302+(#REF!+#REF!*F20)*3*1.302+(F14+F14*F20)*3*1.302+(#REF!+#REF!*F20)*3*1.302+F22+F23+F24+F26+F27</f>
        <v>#REF!</v>
      </c>
      <c r="G28" s="8" t="e">
        <f>(#REF!+#REF!*G19)*3*1.302+(#REF!+#REF!*G20)*3*1.302+(G14+G14*G20)*3*1.302+(#REF!+#REF!*G20)*3*1.302+G22+G23+G24+G26+G27</f>
        <v>#REF!</v>
      </c>
      <c r="H28" s="8" t="e">
        <f>(#REF!+#REF!*H19)*3*1.302+(#REF!+#REF!*H20)*3*1.302+(H14+H14*H20)*3*1.302+(#REF!+#REF!*H20)*3*1.302+H22+H23+H24+H26+H27</f>
        <v>#REF!</v>
      </c>
      <c r="I28" s="8" t="e">
        <f>(#REF!+#REF!*I19)*3*1.302+(#REF!+#REF!*I20)*3*1.302+(I14+I14*I20)*3*1.302+(#REF!+#REF!*I20)*3*1.302+I22+I23+I24+I26+I27</f>
        <v>#REF!</v>
      </c>
      <c r="J28" s="8" t="e">
        <f>(#REF!+#REF!*J19)*3*1.302+(#REF!+#REF!*J20)*3*1.302+(J14+J14*J20)*3*1.302+(#REF!+#REF!*J20)*3*1.302+J22+J23+J24+J26+J27</f>
        <v>#REF!</v>
      </c>
      <c r="K28" s="8" t="e">
        <f>(#REF!+#REF!*K19)*3*1.302+(#REF!+#REF!*K20)*3*1.302+(K14+K14*K20)*3*1.302+(#REF!+#REF!*K20)*3*1.302+K22+K23+K24+K26+K27</f>
        <v>#REF!</v>
      </c>
      <c r="L28" s="8" t="e">
        <f t="shared" si="5"/>
        <v>#REF!</v>
      </c>
    </row>
    <row r="29" spans="1:12" ht="21.75" customHeight="1" hidden="1">
      <c r="A29" s="254"/>
      <c r="B29" s="4"/>
      <c r="C29" s="8" t="e">
        <f>(#REF!+#REF!*C20)*3*1.302+(#REF!+#REF!*C21)*3*1.302+(C15+C15*C21)*3*1.302+(C19+C19*C21)*3*1.302+C23+C24+C26+C27+C28</f>
        <v>#REF!</v>
      </c>
      <c r="D29" s="8" t="e">
        <f>(#REF!+#REF!*D20)*3*1.302+(#REF!+#REF!*D21)*3*1.302+(D15+D15*D21)*3*1.302+(D19+D19*D21)*3*1.302+D23+D24+D26+D27+D28</f>
        <v>#REF!</v>
      </c>
      <c r="E29" s="8" t="e">
        <f>(#REF!+#REF!*E20)*3*1.302+(#REF!+#REF!*E21)*3*1.302+(E15+E15*E21)*3*1.302+(E19+E19*E21)*3*1.302+E23+E24+E26+E27+E28</f>
        <v>#REF!</v>
      </c>
      <c r="F29" s="8" t="e">
        <f>(#REF!+#REF!*F20)*3*1.302+(#REF!+#REF!*F21)*3*1.302+(F15+F15*F21)*3*1.302+(F19+F19*F21)*3*1.302+F23+F24+F26+F27+F28</f>
        <v>#REF!</v>
      </c>
      <c r="G29" s="8" t="e">
        <f>(#REF!+#REF!*G20)*3*1.302+(#REF!+#REF!*G21)*3*1.302+(G15+G15*G21)*3*1.302+(G19+G19*G21)*3*1.302+G23+G24+G26+G27+G28</f>
        <v>#REF!</v>
      </c>
      <c r="H29" s="8" t="e">
        <f>(#REF!+#REF!*H20)*3*1.302+(#REF!+#REF!*H21)*3*1.302+(H15+H15*H21)*3*1.302+(H19+H19*H21)*3*1.302+H23+H24+H26+H27+H28</f>
        <v>#REF!</v>
      </c>
      <c r="I29" s="8" t="e">
        <f>(#REF!+#REF!*I20)*3*1.302+(#REF!+#REF!*I21)*3*1.302+(I15+I15*I21)*3*1.302+(I19+I19*I21)*3*1.302+I23+I24+I26+I27+I28</f>
        <v>#REF!</v>
      </c>
      <c r="J29" s="8" t="e">
        <f>(#REF!+#REF!*J20)*3*1.302+(#REF!+#REF!*J21)*3*1.302+(J15+J15*J21)*3*1.302+(J19+J19*J21)*3*1.302+J23+J24+J26+J27+J28</f>
        <v>#REF!</v>
      </c>
      <c r="K29" s="8" t="e">
        <f>(#REF!+#REF!*K20)*3*1.302+(#REF!+#REF!*K21)*3*1.302+(K15+K15*K21)*3*1.302+(K19+K19*K21)*3*1.302+K23+K24+K26+K27+K28</f>
        <v>#REF!</v>
      </c>
      <c r="L29" s="8" t="e">
        <f t="shared" si="5"/>
        <v>#REF!</v>
      </c>
    </row>
    <row r="30" spans="1:12" ht="25.5" customHeight="1" hidden="1">
      <c r="A30" s="254" t="s">
        <v>27</v>
      </c>
      <c r="B30" s="4"/>
      <c r="C30" s="8" t="e">
        <f>(#REF!+#REF!*C21)*3*1.302+(#REF!+#REF!*C22)*3*1.302+(C16+C16*C22)*3*1.302+(C20+C20*C22)*3*1.302+C24+C26+C27+C28+C29</f>
        <v>#REF!</v>
      </c>
      <c r="D30" s="8" t="e">
        <f>(#REF!+#REF!*D21)*3*1.302+(#REF!+#REF!*D22)*3*1.302+(D16+D16*D22)*3*1.302+(D20+D20*D22)*3*1.302+D24+D26+D27+D28+D29</f>
        <v>#REF!</v>
      </c>
      <c r="E30" s="8" t="e">
        <f>(#REF!+#REF!*E21)*3*1.302+(#REF!+#REF!*E22)*3*1.302+(E16+E16*E22)*3*1.302+(E20+E20*E22)*3*1.302+E24+E26+E27+E28+E29</f>
        <v>#REF!</v>
      </c>
      <c r="F30" s="8" t="e">
        <f>(#REF!+#REF!*F21)*3*1.302+(#REF!+#REF!*F22)*3*1.302+(F16+F16*F22)*3*1.302+(F20+F20*F22)*3*1.302+F24+F26+F27+F28+F29</f>
        <v>#REF!</v>
      </c>
      <c r="G30" s="8" t="e">
        <f>(#REF!+#REF!*G21)*3*1.302+(#REF!+#REF!*G22)*3*1.302+(G16+G16*G22)*3*1.302+(G20+G20*G22)*3*1.302+G24+G26+G27+G28+G29</f>
        <v>#REF!</v>
      </c>
      <c r="H30" s="8" t="e">
        <f>(#REF!+#REF!*H21)*3*1.302+(#REF!+#REF!*H22)*3*1.302+(H16+H16*H22)*3*1.302+(H20+H20*H22)*3*1.302+H24+H26+H27+H28+H29</f>
        <v>#REF!</v>
      </c>
      <c r="I30" s="8" t="e">
        <f>(#REF!+#REF!*I21)*3*1.302+(#REF!+#REF!*I22)*3*1.302+(I16+I16*I22)*3*1.302+(I20+I20*I22)*3*1.302+I24+I26+I27+I28+I29</f>
        <v>#REF!</v>
      </c>
      <c r="J30" s="8" t="e">
        <f>(#REF!+#REF!*J21)*3*1.302+(#REF!+#REF!*J22)*3*1.302+(J16+J16*J22)*3*1.302+(J20+J20*J22)*3*1.302+J24+J26+J27+J28+J29</f>
        <v>#REF!</v>
      </c>
      <c r="K30" s="8" t="e">
        <f>(#REF!+#REF!*K21)*3*1.302+(#REF!+#REF!*K22)*3*1.302+(K16+K16*K22)*3*1.302+(K20+K20*K22)*3*1.302+K24+K26+K27+K28+K29</f>
        <v>#REF!</v>
      </c>
      <c r="L30" s="8" t="e">
        <f t="shared" si="5"/>
        <v>#REF!</v>
      </c>
    </row>
    <row r="31" spans="1:12" s="10" customFormat="1" ht="20.25" customHeight="1" hidden="1">
      <c r="A31" s="253" t="s">
        <v>28</v>
      </c>
      <c r="B31" s="4"/>
      <c r="C31" s="8" t="e">
        <f>(#REF!+#REF!*C22)*3*1.302+(#REF!+#REF!*C23)*3*1.302+(C17+C17*C23)*3*1.302+(C21+C21*C23)*3*1.302+C26+C27+C28+C29+C30</f>
        <v>#REF!</v>
      </c>
      <c r="D31" s="8" t="e">
        <f>(#REF!+#REF!*D22)*3*1.302+(#REF!+#REF!*D23)*3*1.302+(D17+D17*D23)*3*1.302+(D21+D21*D23)*3*1.302+D26+D27+D28+D29+D30</f>
        <v>#REF!</v>
      </c>
      <c r="E31" s="8" t="e">
        <f>(#REF!+#REF!*E22)*3*1.302+(#REF!+#REF!*E23)*3*1.302+(E17+E17*E23)*3*1.302+(E21+E21*E23)*3*1.302+E26+E27+E28+E29+E30</f>
        <v>#REF!</v>
      </c>
      <c r="F31" s="8" t="e">
        <f>(#REF!+#REF!*F22)*3*1.302+(#REF!+#REF!*F23)*3*1.302+(F17+F17*F23)*3*1.302+(F21+F21*F23)*3*1.302+F26+F27+F28+F29+F30</f>
        <v>#REF!</v>
      </c>
      <c r="G31" s="8" t="e">
        <f>(#REF!+#REF!*G22)*3*1.302+(#REF!+#REF!*G23)*3*1.302+(G17+G17*G23)*3*1.302+(G21+G21*G23)*3*1.302+G26+G27+G28+G29+G30</f>
        <v>#REF!</v>
      </c>
      <c r="H31" s="8" t="e">
        <f>(#REF!+#REF!*H22)*3*1.302+(#REF!+#REF!*H23)*3*1.302+(H17+H17*H23)*3*1.302+(H21+H21*H23)*3*1.302+H26+H27+H28+H29+H30</f>
        <v>#REF!</v>
      </c>
      <c r="I31" s="8" t="e">
        <f>(#REF!+#REF!*I22)*3*1.302+(#REF!+#REF!*I23)*3*1.302+(I17+I17*I23)*3*1.302+(I21+I21*I23)*3*1.302+I26+I27+I28+I29+I30</f>
        <v>#REF!</v>
      </c>
      <c r="J31" s="8" t="e">
        <f>(#REF!+#REF!*J22)*3*1.302+(#REF!+#REF!*J23)*3*1.302+(J17+J17*J23)*3*1.302+(J21+J21*J23)*3*1.302+J26+J27+J28+J29+J30</f>
        <v>#REF!</v>
      </c>
      <c r="K31" s="8" t="e">
        <f>(#REF!+#REF!*K22)*3*1.302+(#REF!+#REF!*K23)*3*1.302+(K17+K17*K23)*3*1.302+(K21+K21*K23)*3*1.302+K26+K27+K28+K29+K30</f>
        <v>#REF!</v>
      </c>
      <c r="L31" s="8" t="e">
        <f t="shared" si="5"/>
        <v>#REF!</v>
      </c>
    </row>
    <row r="32" spans="1:12" s="10" customFormat="1" ht="20.25" customHeight="1" hidden="1">
      <c r="A32" s="253"/>
      <c r="B32" s="4"/>
      <c r="C32" s="8">
        <v>2088.1</v>
      </c>
      <c r="D32" s="8">
        <v>2088.1</v>
      </c>
      <c r="E32" s="8">
        <v>1909.6</v>
      </c>
      <c r="F32" s="8">
        <v>1909.6</v>
      </c>
      <c r="G32" s="8">
        <v>994.7</v>
      </c>
      <c r="H32" s="8">
        <v>1909.6</v>
      </c>
      <c r="I32" s="8">
        <v>1909.6</v>
      </c>
      <c r="J32" s="8">
        <v>1058.9</v>
      </c>
      <c r="K32" s="8">
        <v>2088.1</v>
      </c>
      <c r="L32" s="8">
        <f t="shared" si="5"/>
        <v>15956.400000000001</v>
      </c>
    </row>
    <row r="33" spans="1:12" ht="18.75" customHeight="1">
      <c r="A33" s="255" t="s">
        <v>271</v>
      </c>
      <c r="B33" s="70"/>
      <c r="C33" s="256">
        <v>2316.8</v>
      </c>
      <c r="D33" s="256">
        <v>1908.8</v>
      </c>
      <c r="E33" s="256">
        <v>1752.9</v>
      </c>
      <c r="F33" s="256">
        <v>2226.2</v>
      </c>
      <c r="G33" s="256">
        <v>1027.2</v>
      </c>
      <c r="H33" s="256">
        <v>1752.9</v>
      </c>
      <c r="I33" s="256">
        <v>1752.8531261052499</v>
      </c>
      <c r="J33" s="256">
        <v>1041.7</v>
      </c>
      <c r="K33" s="256">
        <v>1989.9</v>
      </c>
      <c r="L33" s="256">
        <f>SUM(C33:K33)</f>
        <v>15769.253126105252</v>
      </c>
    </row>
    <row r="34" spans="1:12" ht="9.75" customHeight="1" hidden="1">
      <c r="A34" s="253" t="s">
        <v>29</v>
      </c>
      <c r="B34" s="4"/>
      <c r="C34" s="8">
        <v>1910.916747610944</v>
      </c>
      <c r="D34" s="8">
        <v>1910.916747610944</v>
      </c>
      <c r="E34" s="8">
        <v>1754.9444960989438</v>
      </c>
      <c r="F34" s="8">
        <v>1754.9444960989438</v>
      </c>
      <c r="G34" s="8">
        <f>912.275973593472+0.2</f>
        <v>912.4759735934721</v>
      </c>
      <c r="H34" s="8">
        <v>1754.9444960989438</v>
      </c>
      <c r="I34" s="8">
        <v>1754.9444960989438</v>
      </c>
      <c r="J34" s="8">
        <v>978.780013937472</v>
      </c>
      <c r="K34" s="8">
        <v>1910.916747610944</v>
      </c>
      <c r="L34" s="8">
        <f>SUM(C34:K34)-0.2</f>
        <v>14643.58421475955</v>
      </c>
    </row>
    <row r="35" spans="1:12" ht="14.25" customHeight="1">
      <c r="A35" s="255" t="s">
        <v>272</v>
      </c>
      <c r="B35" s="70"/>
      <c r="C35" s="256">
        <v>2316.8</v>
      </c>
      <c r="D35" s="256">
        <v>1908.8</v>
      </c>
      <c r="E35" s="256">
        <v>1752.9</v>
      </c>
      <c r="F35" s="256">
        <v>2226.2</v>
      </c>
      <c r="G35" s="256">
        <v>1027.2</v>
      </c>
      <c r="H35" s="256">
        <v>1752.9</v>
      </c>
      <c r="I35" s="256">
        <v>1752.8531261052499</v>
      </c>
      <c r="J35" s="256">
        <v>1041.7</v>
      </c>
      <c r="K35" s="256">
        <v>1989.9</v>
      </c>
      <c r="L35" s="256">
        <f>SUM(C35:K35)</f>
        <v>15769.253126105252</v>
      </c>
    </row>
    <row r="36" spans="1:12" ht="16.5" customHeight="1">
      <c r="A36" s="255" t="s">
        <v>364</v>
      </c>
      <c r="B36" s="70"/>
      <c r="C36" s="256">
        <v>2316.8</v>
      </c>
      <c r="D36" s="256">
        <v>1908.8</v>
      </c>
      <c r="E36" s="256">
        <v>1752.9</v>
      </c>
      <c r="F36" s="256">
        <v>2226.2</v>
      </c>
      <c r="G36" s="256">
        <v>1027.2</v>
      </c>
      <c r="H36" s="256">
        <v>1752.9</v>
      </c>
      <c r="I36" s="256">
        <v>1752.8531261052499</v>
      </c>
      <c r="J36" s="256">
        <v>1041.7</v>
      </c>
      <c r="K36" s="256">
        <v>1989.9</v>
      </c>
      <c r="L36" s="256">
        <f>SUM(C36:K36)</f>
        <v>15769.253126105252</v>
      </c>
    </row>
  </sheetData>
  <sheetProtection/>
  <mergeCells count="8">
    <mergeCell ref="C6:D6"/>
    <mergeCell ref="E6:F6"/>
    <mergeCell ref="H6:I6"/>
    <mergeCell ref="A1:L1"/>
    <mergeCell ref="A2:L2"/>
    <mergeCell ref="A3:L3"/>
    <mergeCell ref="K4:L4"/>
    <mergeCell ref="L5:L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8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33.00390625" style="76" customWidth="1"/>
    <col min="2" max="2" width="26.375" style="76" customWidth="1"/>
    <col min="3" max="3" width="23.75390625" style="76" customWidth="1"/>
    <col min="4" max="4" width="24.75390625" style="76" customWidth="1"/>
    <col min="5" max="5" width="12.00390625" style="76" customWidth="1"/>
    <col min="6" max="6" width="32.75390625" style="76" customWidth="1"/>
    <col min="7" max="7" width="31.00390625" style="76" customWidth="1"/>
    <col min="8" max="8" width="32.375" style="76" customWidth="1"/>
    <col min="9" max="16384" width="9.125" style="76" customWidth="1"/>
  </cols>
  <sheetData>
    <row r="1" spans="1:8" ht="18.75">
      <c r="A1" s="525" t="s">
        <v>107</v>
      </c>
      <c r="B1" s="525"/>
      <c r="C1" s="525"/>
      <c r="D1" s="525"/>
      <c r="E1" s="525"/>
      <c r="F1" s="525"/>
      <c r="G1" s="525"/>
      <c r="H1" s="525"/>
    </row>
    <row r="2" spans="1:8" ht="54" customHeight="1">
      <c r="A2" s="524" t="s">
        <v>327</v>
      </c>
      <c r="B2" s="524"/>
      <c r="C2" s="524"/>
      <c r="D2" s="524"/>
      <c r="E2" s="524"/>
      <c r="F2" s="524"/>
      <c r="G2" s="524"/>
      <c r="H2" s="524"/>
    </row>
    <row r="3" spans="1:8" ht="21" customHeight="1">
      <c r="A3" s="77"/>
      <c r="B3" s="77"/>
      <c r="C3" s="77"/>
      <c r="D3" s="77"/>
      <c r="E3" s="77"/>
      <c r="F3" s="78"/>
      <c r="G3" s="78"/>
      <c r="H3" s="78"/>
    </row>
    <row r="5" spans="6:8" ht="15">
      <c r="F5" s="37"/>
      <c r="G5" s="37"/>
      <c r="H5" s="37" t="s">
        <v>30</v>
      </c>
    </row>
    <row r="6" spans="1:8" s="12" customFormat="1" ht="114.75" customHeight="1">
      <c r="A6" s="523" t="s">
        <v>322</v>
      </c>
      <c r="B6" s="523" t="s">
        <v>323</v>
      </c>
      <c r="C6" s="523" t="s">
        <v>324</v>
      </c>
      <c r="D6" s="523" t="s">
        <v>325</v>
      </c>
      <c r="E6" s="523" t="s">
        <v>326</v>
      </c>
      <c r="F6" s="523" t="s">
        <v>328</v>
      </c>
      <c r="G6" s="523" t="s">
        <v>329</v>
      </c>
      <c r="H6" s="523" t="s">
        <v>330</v>
      </c>
    </row>
    <row r="7" spans="1:8" s="12" customFormat="1" ht="67.5" customHeight="1">
      <c r="A7" s="523"/>
      <c r="B7" s="523"/>
      <c r="C7" s="523"/>
      <c r="D7" s="523"/>
      <c r="E7" s="523"/>
      <c r="F7" s="523"/>
      <c r="G7" s="523"/>
      <c r="H7" s="523"/>
    </row>
    <row r="8" spans="1:8" s="12" customFormat="1" ht="15">
      <c r="A8" s="80">
        <v>1</v>
      </c>
      <c r="B8" s="80">
        <v>2</v>
      </c>
      <c r="C8" s="80">
        <v>3</v>
      </c>
      <c r="D8" s="80">
        <v>4</v>
      </c>
      <c r="E8" s="80">
        <v>5</v>
      </c>
      <c r="F8" s="79">
        <v>6</v>
      </c>
      <c r="G8" s="79">
        <v>7</v>
      </c>
      <c r="H8" s="79">
        <v>8</v>
      </c>
    </row>
    <row r="9" spans="1:8" s="12" customFormat="1" ht="17.25" customHeight="1">
      <c r="A9" s="75" t="s">
        <v>10</v>
      </c>
      <c r="B9" s="81">
        <v>107</v>
      </c>
      <c r="C9" s="82">
        <f>5911.5/122</f>
        <v>48.454918032786885</v>
      </c>
      <c r="D9" s="83">
        <f>105.88*1.061</f>
        <v>112.33867999999998</v>
      </c>
      <c r="E9" s="81">
        <v>12</v>
      </c>
      <c r="F9" s="84">
        <v>6989.3</v>
      </c>
      <c r="G9" s="84">
        <v>6989.3</v>
      </c>
      <c r="H9" s="84">
        <v>6989.3</v>
      </c>
    </row>
    <row r="10" spans="1:8" s="12" customFormat="1" ht="17.25" customHeight="1">
      <c r="A10" s="75" t="s">
        <v>113</v>
      </c>
      <c r="B10" s="81">
        <v>164</v>
      </c>
      <c r="C10" s="82">
        <f>12949.3/273</f>
        <v>47.43333333333333</v>
      </c>
      <c r="D10" s="83">
        <f>119.44*1.061</f>
        <v>126.72583999999999</v>
      </c>
      <c r="E10" s="81">
        <v>12</v>
      </c>
      <c r="F10" s="84">
        <v>11829.7</v>
      </c>
      <c r="G10" s="84">
        <v>11829.7</v>
      </c>
      <c r="H10" s="84">
        <v>11829.7</v>
      </c>
    </row>
    <row r="11" spans="1:8" s="12" customFormat="1" ht="17.25" customHeight="1">
      <c r="A11" s="75" t="s">
        <v>109</v>
      </c>
      <c r="B11" s="81">
        <v>110</v>
      </c>
      <c r="C11" s="82">
        <f>7423.6/121</f>
        <v>61.352066115702485</v>
      </c>
      <c r="D11" s="83">
        <f>107.39*1.061</f>
        <v>113.94078999999999</v>
      </c>
      <c r="E11" s="81">
        <v>12</v>
      </c>
      <c r="F11" s="84">
        <v>9227.5</v>
      </c>
      <c r="G11" s="84">
        <v>9227.5</v>
      </c>
      <c r="H11" s="84">
        <v>9227.5</v>
      </c>
    </row>
    <row r="12" spans="1:8" s="12" customFormat="1" ht="17.25" customHeight="1">
      <c r="A12" s="75" t="s">
        <v>116</v>
      </c>
      <c r="B12" s="81">
        <v>56</v>
      </c>
      <c r="C12" s="82">
        <f>3539/71</f>
        <v>49.84507042253521</v>
      </c>
      <c r="D12" s="83">
        <v>94.39</v>
      </c>
      <c r="E12" s="81">
        <v>12</v>
      </c>
      <c r="F12" s="84">
        <v>3163.5</v>
      </c>
      <c r="G12" s="84">
        <v>3163.5</v>
      </c>
      <c r="H12" s="84">
        <v>3163.5</v>
      </c>
    </row>
    <row r="13" spans="1:8" s="12" customFormat="1" ht="17.25" customHeight="1">
      <c r="A13" s="75" t="s">
        <v>112</v>
      </c>
      <c r="B13" s="81">
        <v>80</v>
      </c>
      <c r="C13" s="82">
        <f>3281.4/83</f>
        <v>39.53493975903615</v>
      </c>
      <c r="D13" s="83">
        <v>121.25</v>
      </c>
      <c r="E13" s="81">
        <v>12</v>
      </c>
      <c r="F13" s="84">
        <v>4601.9</v>
      </c>
      <c r="G13" s="84">
        <v>4601.9</v>
      </c>
      <c r="H13" s="84">
        <v>4601.9</v>
      </c>
    </row>
    <row r="14" spans="1:8" s="12" customFormat="1" ht="17.25" customHeight="1">
      <c r="A14" s="75" t="s">
        <v>117</v>
      </c>
      <c r="B14" s="81">
        <v>162</v>
      </c>
      <c r="C14" s="82">
        <f>5772.4/167</f>
        <v>34.56526946107784</v>
      </c>
      <c r="D14" s="83">
        <v>103.8</v>
      </c>
      <c r="E14" s="81">
        <v>12</v>
      </c>
      <c r="F14" s="84">
        <v>6974.7</v>
      </c>
      <c r="G14" s="84">
        <v>6974.7</v>
      </c>
      <c r="H14" s="84">
        <v>6974.7</v>
      </c>
    </row>
    <row r="15" spans="1:8" s="12" customFormat="1" ht="17.25" customHeight="1">
      <c r="A15" s="75" t="s">
        <v>118</v>
      </c>
      <c r="B15" s="81">
        <v>131</v>
      </c>
      <c r="C15" s="82">
        <f>5181.6/132</f>
        <v>39.25454545454546</v>
      </c>
      <c r="D15" s="83">
        <v>111.92</v>
      </c>
      <c r="E15" s="81">
        <v>12</v>
      </c>
      <c r="F15" s="84">
        <v>6906.7</v>
      </c>
      <c r="G15" s="84">
        <v>6906.7</v>
      </c>
      <c r="H15" s="84">
        <v>6906.7</v>
      </c>
    </row>
    <row r="16" spans="1:8" s="12" customFormat="1" ht="17.25" customHeight="1">
      <c r="A16" s="75" t="s">
        <v>119</v>
      </c>
      <c r="B16" s="81">
        <v>165</v>
      </c>
      <c r="C16" s="82">
        <f>7756.1/184</f>
        <v>42.15271739130435</v>
      </c>
      <c r="D16" s="83">
        <v>110.28</v>
      </c>
      <c r="E16" s="81">
        <v>12</v>
      </c>
      <c r="F16" s="84">
        <v>9203.5</v>
      </c>
      <c r="G16" s="84">
        <v>9203.5</v>
      </c>
      <c r="H16" s="84">
        <v>9203.5</v>
      </c>
    </row>
    <row r="17" spans="1:8" ht="17.25" customHeight="1">
      <c r="A17" s="75" t="s">
        <v>120</v>
      </c>
      <c r="B17" s="81">
        <v>174</v>
      </c>
      <c r="C17" s="82">
        <f>7107.2/144</f>
        <v>49.355555555555554</v>
      </c>
      <c r="D17" s="83">
        <v>117.08</v>
      </c>
      <c r="E17" s="81">
        <v>12</v>
      </c>
      <c r="F17" s="84">
        <v>12082.9</v>
      </c>
      <c r="G17" s="84">
        <v>12082.9</v>
      </c>
      <c r="H17" s="84">
        <v>12082.9</v>
      </c>
    </row>
    <row r="18" spans="1:8" ht="27.75" customHeight="1">
      <c r="A18" s="394" t="s">
        <v>298</v>
      </c>
      <c r="B18" s="395">
        <f>SUM(B9:B17)</f>
        <v>1149</v>
      </c>
      <c r="C18" s="81"/>
      <c r="D18" s="81"/>
      <c r="E18" s="81"/>
      <c r="F18" s="396">
        <f>SUM(F9:F17)</f>
        <v>70979.7</v>
      </c>
      <c r="G18" s="396">
        <f>SUM(G9:G17)</f>
        <v>70979.7</v>
      </c>
      <c r="H18" s="396">
        <f>SUM(H9:H17)</f>
        <v>70979.7</v>
      </c>
    </row>
  </sheetData>
  <sheetProtection/>
  <mergeCells count="10">
    <mergeCell ref="G6:G7"/>
    <mergeCell ref="H6:H7"/>
    <mergeCell ref="A2:H2"/>
    <mergeCell ref="A1:H1"/>
    <mergeCell ref="A6:A7"/>
    <mergeCell ref="B6:B7"/>
    <mergeCell ref="C6:C7"/>
    <mergeCell ref="D6:D7"/>
    <mergeCell ref="E6:E7"/>
    <mergeCell ref="F6:F7"/>
  </mergeCells>
  <printOptions/>
  <pageMargins left="0.2755905511811024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9"/>
  <sheetViews>
    <sheetView zoomScaleSheetLayoutView="87" zoomScalePageLayoutView="0" workbookViewId="0" topLeftCell="A1">
      <selection activeCell="B20" sqref="B20"/>
    </sheetView>
  </sheetViews>
  <sheetFormatPr defaultColWidth="9.00390625" defaultRowHeight="12.75"/>
  <cols>
    <col min="1" max="1" width="34.875" style="201" customWidth="1"/>
    <col min="2" max="2" width="21.00390625" style="201" customWidth="1"/>
    <col min="3" max="3" width="20.125" style="201" customWidth="1"/>
    <col min="4" max="4" width="10.875" style="201" customWidth="1"/>
    <col min="5" max="5" width="15.75390625" style="201" customWidth="1"/>
    <col min="6" max="6" width="11.625" style="201" customWidth="1"/>
    <col min="7" max="7" width="15.875" style="201" customWidth="1"/>
    <col min="8" max="8" width="15.375" style="201" customWidth="1"/>
    <col min="9" max="9" width="11.00390625" style="201" customWidth="1"/>
    <col min="10" max="10" width="15.75390625" style="201" customWidth="1"/>
    <col min="11" max="13" width="17.875" style="201" customWidth="1"/>
    <col min="14" max="16384" width="9.125" style="201" customWidth="1"/>
  </cols>
  <sheetData>
    <row r="1" spans="1:28" ht="15.75">
      <c r="A1" s="535" t="s">
        <v>102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33" customHeight="1">
      <c r="A2" s="492" t="s">
        <v>349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5" ht="15.75">
      <c r="M5" s="207" t="s">
        <v>30</v>
      </c>
    </row>
    <row r="6" spans="1:13" s="202" customFormat="1" ht="47.25" customHeight="1">
      <c r="A6" s="536" t="s">
        <v>308</v>
      </c>
      <c r="B6" s="526" t="s">
        <v>337</v>
      </c>
      <c r="C6" s="527"/>
      <c r="D6" s="528"/>
      <c r="E6" s="540" t="s">
        <v>338</v>
      </c>
      <c r="F6" s="541"/>
      <c r="G6" s="541"/>
      <c r="H6" s="541"/>
      <c r="I6" s="541"/>
      <c r="J6" s="542"/>
      <c r="K6" s="539" t="s">
        <v>339</v>
      </c>
      <c r="L6" s="539" t="s">
        <v>340</v>
      </c>
      <c r="M6" s="539" t="s">
        <v>341</v>
      </c>
    </row>
    <row r="7" spans="1:13" s="202" customFormat="1" ht="35.25" customHeight="1" hidden="1">
      <c r="A7" s="537"/>
      <c r="B7" s="529"/>
      <c r="C7" s="530"/>
      <c r="D7" s="531"/>
      <c r="E7" s="540" t="s">
        <v>342</v>
      </c>
      <c r="F7" s="541"/>
      <c r="G7" s="542"/>
      <c r="H7" s="540" t="s">
        <v>343</v>
      </c>
      <c r="I7" s="541"/>
      <c r="J7" s="542"/>
      <c r="K7" s="539"/>
      <c r="L7" s="539"/>
      <c r="M7" s="539"/>
    </row>
    <row r="8" spans="1:13" s="202" customFormat="1" ht="35.25" customHeight="1">
      <c r="A8" s="537"/>
      <c r="B8" s="532"/>
      <c r="C8" s="533"/>
      <c r="D8" s="534"/>
      <c r="E8" s="540" t="s">
        <v>342</v>
      </c>
      <c r="F8" s="541"/>
      <c r="G8" s="542"/>
      <c r="H8" s="540" t="s">
        <v>343</v>
      </c>
      <c r="I8" s="541"/>
      <c r="J8" s="542"/>
      <c r="K8" s="539"/>
      <c r="L8" s="539"/>
      <c r="M8" s="539"/>
    </row>
    <row r="9" spans="1:13" s="202" customFormat="1" ht="72.75" customHeight="1">
      <c r="A9" s="538"/>
      <c r="B9" s="69" t="s">
        <v>342</v>
      </c>
      <c r="C9" s="69" t="s">
        <v>343</v>
      </c>
      <c r="D9" s="69" t="s">
        <v>12</v>
      </c>
      <c r="E9" s="68" t="s">
        <v>147</v>
      </c>
      <c r="F9" s="68" t="s">
        <v>148</v>
      </c>
      <c r="G9" s="69" t="s">
        <v>344</v>
      </c>
      <c r="H9" s="68" t="s">
        <v>147</v>
      </c>
      <c r="I9" s="68" t="s">
        <v>148</v>
      </c>
      <c r="J9" s="69" t="s">
        <v>345</v>
      </c>
      <c r="K9" s="539"/>
      <c r="L9" s="539"/>
      <c r="M9" s="539"/>
    </row>
    <row r="10" spans="1:13" ht="15.75">
      <c r="A10" s="66" t="s">
        <v>10</v>
      </c>
      <c r="B10" s="203">
        <v>5257</v>
      </c>
      <c r="C10" s="203">
        <v>928</v>
      </c>
      <c r="D10" s="203">
        <f aca="true" t="shared" si="0" ref="D10:D19">B10+C10</f>
        <v>6185</v>
      </c>
      <c r="E10" s="204">
        <v>120.26</v>
      </c>
      <c r="F10" s="204">
        <v>7.83</v>
      </c>
      <c r="G10" s="204">
        <f>E10+F10</f>
        <v>128.09</v>
      </c>
      <c r="H10" s="204">
        <v>177.99</v>
      </c>
      <c r="I10" s="204">
        <v>8.26</v>
      </c>
      <c r="J10" s="204">
        <f>H10+I10</f>
        <v>186.25</v>
      </c>
      <c r="K10" s="208">
        <v>841210.1</v>
      </c>
      <c r="L10" s="208">
        <v>886945.1</v>
      </c>
      <c r="M10" s="208">
        <f>L10</f>
        <v>886945.1</v>
      </c>
    </row>
    <row r="11" spans="1:13" ht="15.75">
      <c r="A11" s="205" t="s">
        <v>346</v>
      </c>
      <c r="B11" s="203">
        <v>519</v>
      </c>
      <c r="C11" s="203"/>
      <c r="D11" s="203">
        <f t="shared" si="0"/>
        <v>519</v>
      </c>
      <c r="E11" s="204">
        <v>166.22</v>
      </c>
      <c r="F11" s="204">
        <v>9.05</v>
      </c>
      <c r="G11" s="204">
        <f aca="true" t="shared" si="1" ref="G11:G18">E11+F11</f>
        <v>175.27</v>
      </c>
      <c r="H11" s="204"/>
      <c r="I11" s="204"/>
      <c r="J11" s="204"/>
      <c r="K11" s="208">
        <v>90965.1</v>
      </c>
      <c r="L11" s="208">
        <v>95896.5</v>
      </c>
      <c r="M11" s="208">
        <f aca="true" t="shared" si="2" ref="M11:M18">L11</f>
        <v>95896.5</v>
      </c>
    </row>
    <row r="12" spans="1:13" ht="15.75">
      <c r="A12" s="13" t="s">
        <v>109</v>
      </c>
      <c r="B12" s="203">
        <v>354</v>
      </c>
      <c r="C12" s="203"/>
      <c r="D12" s="203">
        <f t="shared" si="0"/>
        <v>354</v>
      </c>
      <c r="E12" s="204">
        <v>166.22</v>
      </c>
      <c r="F12" s="204">
        <v>9.05</v>
      </c>
      <c r="G12" s="204">
        <f t="shared" si="1"/>
        <v>175.27</v>
      </c>
      <c r="H12" s="204"/>
      <c r="I12" s="204"/>
      <c r="J12" s="204"/>
      <c r="K12" s="208">
        <v>62045.6</v>
      </c>
      <c r="L12" s="208">
        <v>65409.2</v>
      </c>
      <c r="M12" s="208">
        <f t="shared" si="2"/>
        <v>65409.2</v>
      </c>
    </row>
    <row r="13" spans="1:13" ht="15.75">
      <c r="A13" s="205" t="s">
        <v>116</v>
      </c>
      <c r="B13" s="203">
        <v>159</v>
      </c>
      <c r="C13" s="203"/>
      <c r="D13" s="203">
        <f t="shared" si="0"/>
        <v>159</v>
      </c>
      <c r="E13" s="204">
        <v>179.52</v>
      </c>
      <c r="F13" s="204">
        <v>10.06</v>
      </c>
      <c r="G13" s="204">
        <f t="shared" si="1"/>
        <v>189.58</v>
      </c>
      <c r="H13" s="204"/>
      <c r="I13" s="204"/>
      <c r="J13" s="204"/>
      <c r="K13" s="208">
        <v>30143.2</v>
      </c>
      <c r="L13" s="208">
        <v>31777.3</v>
      </c>
      <c r="M13" s="208">
        <f t="shared" si="2"/>
        <v>31777.3</v>
      </c>
    </row>
    <row r="14" spans="1:13" ht="15.75">
      <c r="A14" s="205" t="s">
        <v>112</v>
      </c>
      <c r="B14" s="203">
        <v>154</v>
      </c>
      <c r="C14" s="203"/>
      <c r="D14" s="203">
        <f t="shared" si="0"/>
        <v>154</v>
      </c>
      <c r="E14" s="204">
        <v>166.22</v>
      </c>
      <c r="F14" s="204">
        <v>9.05</v>
      </c>
      <c r="G14" s="204">
        <f t="shared" si="1"/>
        <v>175.27</v>
      </c>
      <c r="H14" s="204"/>
      <c r="I14" s="204"/>
      <c r="J14" s="204"/>
      <c r="K14" s="208">
        <v>26991.6</v>
      </c>
      <c r="L14" s="208">
        <v>28454.9</v>
      </c>
      <c r="M14" s="208">
        <f t="shared" si="2"/>
        <v>28454.9</v>
      </c>
    </row>
    <row r="15" spans="1:13" ht="15.75">
      <c r="A15" s="205" t="s">
        <v>347</v>
      </c>
      <c r="B15" s="203">
        <v>347</v>
      </c>
      <c r="C15" s="203"/>
      <c r="D15" s="203">
        <f t="shared" si="0"/>
        <v>347</v>
      </c>
      <c r="E15" s="204">
        <v>166.22</v>
      </c>
      <c r="F15" s="204">
        <v>9.05</v>
      </c>
      <c r="G15" s="204">
        <f t="shared" si="1"/>
        <v>175.27</v>
      </c>
      <c r="H15" s="204"/>
      <c r="I15" s="204"/>
      <c r="J15" s="204"/>
      <c r="K15" s="208">
        <v>60818.7</v>
      </c>
      <c r="L15" s="208">
        <v>64115.8</v>
      </c>
      <c r="M15" s="208">
        <f t="shared" si="2"/>
        <v>64115.8</v>
      </c>
    </row>
    <row r="16" spans="1:13" ht="15.75">
      <c r="A16" s="205" t="s">
        <v>348</v>
      </c>
      <c r="B16" s="203">
        <v>207</v>
      </c>
      <c r="C16" s="203"/>
      <c r="D16" s="203">
        <f t="shared" si="0"/>
        <v>207</v>
      </c>
      <c r="E16" s="204">
        <v>166.22</v>
      </c>
      <c r="F16" s="204">
        <v>9.05</v>
      </c>
      <c r="G16" s="204">
        <f t="shared" si="1"/>
        <v>175.27</v>
      </c>
      <c r="H16" s="204"/>
      <c r="I16" s="204"/>
      <c r="J16" s="204"/>
      <c r="K16" s="208">
        <v>36280.9</v>
      </c>
      <c r="L16" s="208">
        <v>38247.8</v>
      </c>
      <c r="M16" s="208">
        <f t="shared" si="2"/>
        <v>38247.8</v>
      </c>
    </row>
    <row r="17" spans="1:13" ht="15.75">
      <c r="A17" s="205" t="s">
        <v>119</v>
      </c>
      <c r="B17" s="203">
        <v>441</v>
      </c>
      <c r="C17" s="203"/>
      <c r="D17" s="203">
        <f t="shared" si="0"/>
        <v>441</v>
      </c>
      <c r="E17" s="204">
        <v>166.22</v>
      </c>
      <c r="F17" s="204">
        <v>9.05</v>
      </c>
      <c r="G17" s="204">
        <f t="shared" si="1"/>
        <v>175.27</v>
      </c>
      <c r="H17" s="204"/>
      <c r="I17" s="204"/>
      <c r="J17" s="204"/>
      <c r="K17" s="208">
        <v>77294.1</v>
      </c>
      <c r="L17" s="208">
        <v>81484.4</v>
      </c>
      <c r="M17" s="208">
        <f t="shared" si="2"/>
        <v>81484.4</v>
      </c>
    </row>
    <row r="18" spans="1:13" ht="15.75">
      <c r="A18" s="205" t="s">
        <v>120</v>
      </c>
      <c r="B18" s="203">
        <v>486</v>
      </c>
      <c r="C18" s="203"/>
      <c r="D18" s="203">
        <f t="shared" si="0"/>
        <v>486</v>
      </c>
      <c r="E18" s="204">
        <v>166.22</v>
      </c>
      <c r="F18" s="204">
        <v>9.05</v>
      </c>
      <c r="G18" s="204">
        <f t="shared" si="1"/>
        <v>175.27</v>
      </c>
      <c r="H18" s="204"/>
      <c r="I18" s="204"/>
      <c r="J18" s="204"/>
      <c r="K18" s="208">
        <v>85181.2</v>
      </c>
      <c r="L18" s="208">
        <v>89799.1</v>
      </c>
      <c r="M18" s="208">
        <f t="shared" si="2"/>
        <v>89799.1</v>
      </c>
    </row>
    <row r="19" spans="1:13" ht="18.75" customHeight="1">
      <c r="A19" s="66" t="s">
        <v>12</v>
      </c>
      <c r="B19" s="203">
        <f>SUM(B10:B18)</f>
        <v>7924</v>
      </c>
      <c r="C19" s="203">
        <f>SUM(C10:C18)</f>
        <v>928</v>
      </c>
      <c r="D19" s="203">
        <f t="shared" si="0"/>
        <v>8852</v>
      </c>
      <c r="E19" s="204" t="s">
        <v>350</v>
      </c>
      <c r="F19" s="204" t="s">
        <v>350</v>
      </c>
      <c r="G19" s="204" t="s">
        <v>350</v>
      </c>
      <c r="H19" s="204" t="s">
        <v>350</v>
      </c>
      <c r="I19" s="204" t="s">
        <v>350</v>
      </c>
      <c r="J19" s="204" t="s">
        <v>350</v>
      </c>
      <c r="K19" s="208">
        <f>SUM(K10:K18)</f>
        <v>1310930.4999999998</v>
      </c>
      <c r="L19" s="208">
        <f>SUM(L10:L18)</f>
        <v>1382130.0999999999</v>
      </c>
      <c r="M19" s="208">
        <f>SUM(M10:M18)</f>
        <v>1382130.0999999999</v>
      </c>
    </row>
  </sheetData>
  <sheetProtection/>
  <mergeCells count="12">
    <mergeCell ref="E8:G8"/>
    <mergeCell ref="H8:J8"/>
    <mergeCell ref="B6:D8"/>
    <mergeCell ref="A1:M1"/>
    <mergeCell ref="A2:M2"/>
    <mergeCell ref="A6:A9"/>
    <mergeCell ref="K6:K9"/>
    <mergeCell ref="E6:J6"/>
    <mergeCell ref="L6:L9"/>
    <mergeCell ref="M6:M9"/>
    <mergeCell ref="E7:G7"/>
    <mergeCell ref="H7:J7"/>
  </mergeCells>
  <printOptions horizontalCentered="1"/>
  <pageMargins left="0.1968503937007874" right="0.1968503937007874" top="0.6692913385826772" bottom="0.31496062992125984" header="0.31496062992125984" footer="0.31496062992125984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35"/>
  <sheetViews>
    <sheetView zoomScaleSheetLayoutView="69" zoomScalePageLayoutView="0" workbookViewId="0" topLeftCell="A16">
      <selection activeCell="L16" sqref="L16"/>
    </sheetView>
  </sheetViews>
  <sheetFormatPr defaultColWidth="9.00390625" defaultRowHeight="12.75"/>
  <cols>
    <col min="1" max="1" width="36.00390625" style="201" customWidth="1"/>
    <col min="2" max="2" width="9.00390625" style="201" customWidth="1"/>
    <col min="3" max="3" width="7.875" style="201" customWidth="1"/>
    <col min="4" max="4" width="11.75390625" style="201" customWidth="1"/>
    <col min="5" max="5" width="10.125" style="201" customWidth="1"/>
    <col min="6" max="6" width="8.00390625" style="201" customWidth="1"/>
    <col min="7" max="7" width="12.00390625" style="201" customWidth="1"/>
    <col min="8" max="8" width="9.00390625" style="201" customWidth="1"/>
    <col min="9" max="9" width="9.625" style="201" customWidth="1"/>
    <col min="10" max="10" width="12.00390625" style="201" customWidth="1"/>
    <col min="11" max="11" width="9.375" style="201" customWidth="1"/>
    <col min="12" max="12" width="13.125" style="201" customWidth="1"/>
    <col min="13" max="13" width="12.00390625" style="72" customWidth="1"/>
    <col min="14" max="14" width="9.625" style="201" customWidth="1"/>
    <col min="15" max="15" width="8.875" style="201" customWidth="1"/>
    <col min="16" max="16" width="12.125" style="201" customWidth="1"/>
    <col min="17" max="17" width="9.625" style="201" customWidth="1"/>
    <col min="18" max="18" width="8.875" style="201" customWidth="1"/>
    <col min="19" max="19" width="15.75390625" style="201" customWidth="1"/>
    <col min="20" max="22" width="17.875" style="201" customWidth="1"/>
    <col min="23" max="16384" width="9.125" style="201" customWidth="1"/>
  </cols>
  <sheetData>
    <row r="1" spans="1:37" ht="15.75">
      <c r="A1" s="535" t="s">
        <v>102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ht="48" customHeight="1">
      <c r="A2" s="492" t="s">
        <v>359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209"/>
      <c r="U2" s="209"/>
      <c r="V2" s="209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5" ht="15.75">
      <c r="S5" s="207" t="s">
        <v>30</v>
      </c>
    </row>
    <row r="6" spans="1:19" s="202" customFormat="1" ht="47.25" customHeight="1">
      <c r="A6" s="543" t="s">
        <v>308</v>
      </c>
      <c r="B6" s="540" t="s">
        <v>357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2"/>
    </row>
    <row r="7" spans="1:19" s="202" customFormat="1" ht="35.25" customHeight="1" hidden="1">
      <c r="A7" s="544"/>
      <c r="B7" s="540" t="s">
        <v>342</v>
      </c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2"/>
      <c r="Q7" s="540" t="s">
        <v>343</v>
      </c>
      <c r="R7" s="541"/>
      <c r="S7" s="542"/>
    </row>
    <row r="8" spans="1:19" s="202" customFormat="1" ht="58.5" customHeight="1">
      <c r="A8" s="544"/>
      <c r="B8" s="540" t="s">
        <v>352</v>
      </c>
      <c r="C8" s="541"/>
      <c r="D8" s="542"/>
      <c r="E8" s="540" t="s">
        <v>353</v>
      </c>
      <c r="F8" s="541"/>
      <c r="G8" s="541"/>
      <c r="H8" s="540" t="s">
        <v>354</v>
      </c>
      <c r="I8" s="541"/>
      <c r="J8" s="542"/>
      <c r="K8" s="546" t="s">
        <v>355</v>
      </c>
      <c r="L8" s="547"/>
      <c r="M8" s="547"/>
      <c r="N8" s="546" t="s">
        <v>356</v>
      </c>
      <c r="O8" s="547"/>
      <c r="P8" s="548"/>
      <c r="Q8" s="540" t="s">
        <v>358</v>
      </c>
      <c r="R8" s="541"/>
      <c r="S8" s="542"/>
    </row>
    <row r="9" spans="1:19" s="202" customFormat="1" ht="99" customHeight="1">
      <c r="A9" s="545"/>
      <c r="B9" s="68" t="s">
        <v>147</v>
      </c>
      <c r="C9" s="68" t="s">
        <v>148</v>
      </c>
      <c r="D9" s="69" t="s">
        <v>344</v>
      </c>
      <c r="E9" s="68" t="s">
        <v>147</v>
      </c>
      <c r="F9" s="68" t="s">
        <v>148</v>
      </c>
      <c r="G9" s="69" t="s">
        <v>344</v>
      </c>
      <c r="H9" s="68" t="s">
        <v>147</v>
      </c>
      <c r="I9" s="68" t="s">
        <v>148</v>
      </c>
      <c r="J9" s="69" t="s">
        <v>344</v>
      </c>
      <c r="K9" s="68" t="s">
        <v>147</v>
      </c>
      <c r="L9" s="68" t="s">
        <v>148</v>
      </c>
      <c r="M9" s="69" t="s">
        <v>344</v>
      </c>
      <c r="N9" s="68" t="s">
        <v>147</v>
      </c>
      <c r="O9" s="68" t="s">
        <v>148</v>
      </c>
      <c r="P9" s="69" t="s">
        <v>344</v>
      </c>
      <c r="Q9" s="68" t="s">
        <v>147</v>
      </c>
      <c r="R9" s="68" t="s">
        <v>148</v>
      </c>
      <c r="S9" s="69" t="s">
        <v>345</v>
      </c>
    </row>
    <row r="10" spans="1:19" ht="16.5" customHeight="1">
      <c r="A10" s="71" t="s">
        <v>10</v>
      </c>
      <c r="B10" s="204">
        <v>113.4</v>
      </c>
      <c r="C10" s="204">
        <v>4.94</v>
      </c>
      <c r="D10" s="204">
        <f>B10+C10</f>
        <v>118.34</v>
      </c>
      <c r="E10" s="204">
        <v>99.86</v>
      </c>
      <c r="F10" s="204">
        <v>3.08</v>
      </c>
      <c r="G10" s="204">
        <f>E10+F10</f>
        <v>102.94</v>
      </c>
      <c r="H10" s="204">
        <v>135</v>
      </c>
      <c r="I10" s="204">
        <v>10.8</v>
      </c>
      <c r="J10" s="204">
        <f>H10+I10</f>
        <v>145.8</v>
      </c>
      <c r="K10" s="204">
        <v>73.77</v>
      </c>
      <c r="L10" s="204">
        <v>2.22</v>
      </c>
      <c r="M10" s="204">
        <f>K10+L10</f>
        <v>75.99</v>
      </c>
      <c r="N10" s="204">
        <v>217.77</v>
      </c>
      <c r="O10" s="204">
        <v>6.52</v>
      </c>
      <c r="P10" s="204">
        <f>N10+O10</f>
        <v>224.29000000000002</v>
      </c>
      <c r="Q10" s="204"/>
      <c r="R10" s="204"/>
      <c r="S10" s="204"/>
    </row>
    <row r="11" spans="1:19" ht="16.5" customHeight="1">
      <c r="A11" s="206" t="s">
        <v>113</v>
      </c>
      <c r="B11" s="204">
        <v>123.55</v>
      </c>
      <c r="C11" s="204">
        <v>4.94</v>
      </c>
      <c r="D11" s="204">
        <f aca="true" t="shared" si="0" ref="D11:D18">B11+C11</f>
        <v>128.49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</row>
    <row r="12" spans="1:19" ht="16.5" customHeight="1">
      <c r="A12" s="211" t="s">
        <v>109</v>
      </c>
      <c r="B12" s="204">
        <v>123.55</v>
      </c>
      <c r="C12" s="204">
        <v>4.94</v>
      </c>
      <c r="D12" s="204">
        <f t="shared" si="0"/>
        <v>128.49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ht="16.5" customHeight="1">
      <c r="A13" s="206" t="s">
        <v>116</v>
      </c>
      <c r="B13" s="204">
        <v>123.55</v>
      </c>
      <c r="C13" s="204">
        <v>4.94</v>
      </c>
      <c r="D13" s="204">
        <f t="shared" si="0"/>
        <v>128.49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>
        <v>190.53</v>
      </c>
      <c r="R13" s="204">
        <v>7.62</v>
      </c>
      <c r="S13" s="204">
        <f>Q13+R13</f>
        <v>198.15</v>
      </c>
    </row>
    <row r="14" spans="1:19" ht="16.5" customHeight="1">
      <c r="A14" s="206" t="s">
        <v>112</v>
      </c>
      <c r="B14" s="204">
        <v>123.55</v>
      </c>
      <c r="C14" s="204">
        <v>4.94</v>
      </c>
      <c r="D14" s="204">
        <f t="shared" si="0"/>
        <v>128.49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</row>
    <row r="15" spans="1:19" ht="16.5" customHeight="1">
      <c r="A15" s="206" t="s">
        <v>347</v>
      </c>
      <c r="B15" s="204">
        <v>123.55</v>
      </c>
      <c r="C15" s="204">
        <v>4.94</v>
      </c>
      <c r="D15" s="204">
        <f t="shared" si="0"/>
        <v>128.49</v>
      </c>
      <c r="E15" s="204">
        <v>188.71</v>
      </c>
      <c r="F15" s="204">
        <v>6.86</v>
      </c>
      <c r="G15" s="204">
        <f>E15+F15</f>
        <v>195.57000000000002</v>
      </c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</row>
    <row r="16" spans="1:19" ht="16.5" customHeight="1">
      <c r="A16" s="206" t="s">
        <v>118</v>
      </c>
      <c r="B16" s="204">
        <v>123.55</v>
      </c>
      <c r="C16" s="204">
        <v>4.94</v>
      </c>
      <c r="D16" s="204">
        <f t="shared" si="0"/>
        <v>128.49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</row>
    <row r="17" spans="1:19" ht="16.5" customHeight="1">
      <c r="A17" s="206" t="s">
        <v>119</v>
      </c>
      <c r="B17" s="204">
        <v>123.55</v>
      </c>
      <c r="C17" s="204">
        <v>4.94</v>
      </c>
      <c r="D17" s="204">
        <f t="shared" si="0"/>
        <v>128.49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</row>
    <row r="18" spans="1:19" ht="16.5" customHeight="1">
      <c r="A18" s="206" t="s">
        <v>120</v>
      </c>
      <c r="B18" s="204">
        <v>123.55</v>
      </c>
      <c r="C18" s="204">
        <v>4.94</v>
      </c>
      <c r="D18" s="204">
        <f t="shared" si="0"/>
        <v>128.49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</row>
    <row r="19" spans="1:19" ht="16.5" customHeight="1">
      <c r="A19" s="66" t="s">
        <v>12</v>
      </c>
      <c r="B19" s="204" t="s">
        <v>350</v>
      </c>
      <c r="C19" s="204" t="s">
        <v>350</v>
      </c>
      <c r="D19" s="204" t="s">
        <v>350</v>
      </c>
      <c r="E19" s="204" t="s">
        <v>350</v>
      </c>
      <c r="F19" s="204" t="s">
        <v>350</v>
      </c>
      <c r="G19" s="204" t="s">
        <v>350</v>
      </c>
      <c r="H19" s="204" t="s">
        <v>350</v>
      </c>
      <c r="I19" s="204" t="s">
        <v>350</v>
      </c>
      <c r="J19" s="204" t="s">
        <v>350</v>
      </c>
      <c r="K19" s="204" t="s">
        <v>350</v>
      </c>
      <c r="L19" s="204" t="s">
        <v>350</v>
      </c>
      <c r="M19" s="204" t="s">
        <v>350</v>
      </c>
      <c r="N19" s="204" t="s">
        <v>350</v>
      </c>
      <c r="O19" s="204" t="s">
        <v>350</v>
      </c>
      <c r="P19" s="204" t="s">
        <v>350</v>
      </c>
      <c r="Q19" s="204" t="s">
        <v>350</v>
      </c>
      <c r="R19" s="204" t="s">
        <v>350</v>
      </c>
      <c r="S19" s="204" t="s">
        <v>350</v>
      </c>
    </row>
    <row r="22" spans="1:19" ht="15.75" customHeight="1">
      <c r="A22" s="543" t="s">
        <v>308</v>
      </c>
      <c r="B22" s="551" t="s">
        <v>351</v>
      </c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39" t="s">
        <v>339</v>
      </c>
      <c r="O22" s="539"/>
      <c r="P22" s="539" t="s">
        <v>340</v>
      </c>
      <c r="Q22" s="539"/>
      <c r="R22" s="539" t="s">
        <v>341</v>
      </c>
      <c r="S22" s="539"/>
    </row>
    <row r="23" spans="1:19" ht="5.25" customHeight="1">
      <c r="A23" s="544"/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39"/>
      <c r="O23" s="539"/>
      <c r="P23" s="539"/>
      <c r="Q23" s="539"/>
      <c r="R23" s="539"/>
      <c r="S23" s="539"/>
    </row>
    <row r="24" spans="1:19" ht="11.25" customHeight="1">
      <c r="A24" s="544"/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39"/>
      <c r="O24" s="539"/>
      <c r="P24" s="539"/>
      <c r="Q24" s="539"/>
      <c r="R24" s="539"/>
      <c r="S24" s="539"/>
    </row>
    <row r="25" spans="1:19" ht="108" customHeight="1">
      <c r="A25" s="545"/>
      <c r="B25" s="539" t="s">
        <v>352</v>
      </c>
      <c r="C25" s="539"/>
      <c r="D25" s="539" t="s">
        <v>353</v>
      </c>
      <c r="E25" s="539"/>
      <c r="F25" s="539" t="s">
        <v>354</v>
      </c>
      <c r="G25" s="539"/>
      <c r="H25" s="552" t="s">
        <v>355</v>
      </c>
      <c r="I25" s="552"/>
      <c r="J25" s="552" t="s">
        <v>356</v>
      </c>
      <c r="K25" s="552"/>
      <c r="L25" s="210" t="s">
        <v>358</v>
      </c>
      <c r="M25" s="68" t="s">
        <v>12</v>
      </c>
      <c r="N25" s="539"/>
      <c r="O25" s="539"/>
      <c r="P25" s="539"/>
      <c r="Q25" s="539"/>
      <c r="R25" s="539"/>
      <c r="S25" s="539"/>
    </row>
    <row r="26" spans="1:19" ht="16.5" customHeight="1">
      <c r="A26" s="71" t="s">
        <v>10</v>
      </c>
      <c r="B26" s="550">
        <v>3602</v>
      </c>
      <c r="C26" s="550"/>
      <c r="D26" s="550">
        <v>6385</v>
      </c>
      <c r="E26" s="550"/>
      <c r="F26" s="550">
        <v>552</v>
      </c>
      <c r="G26" s="550"/>
      <c r="H26" s="550">
        <v>363</v>
      </c>
      <c r="I26" s="550"/>
      <c r="J26" s="550">
        <v>108</v>
      </c>
      <c r="K26" s="550"/>
      <c r="L26" s="203"/>
      <c r="M26" s="203">
        <f>SUM(B26:L26)</f>
        <v>11010</v>
      </c>
      <c r="N26" s="549">
        <v>1215822.1</v>
      </c>
      <c r="O26" s="549"/>
      <c r="P26" s="549">
        <v>1275653.9</v>
      </c>
      <c r="Q26" s="549"/>
      <c r="R26" s="549">
        <f aca="true" t="shared" si="1" ref="R26:R34">P26</f>
        <v>1275653.9</v>
      </c>
      <c r="S26" s="549"/>
    </row>
    <row r="27" spans="1:19" ht="16.5" customHeight="1">
      <c r="A27" s="212" t="s">
        <v>113</v>
      </c>
      <c r="B27" s="550">
        <v>1100</v>
      </c>
      <c r="C27" s="550"/>
      <c r="D27" s="550"/>
      <c r="E27" s="550"/>
      <c r="F27" s="550"/>
      <c r="G27" s="550"/>
      <c r="H27" s="550"/>
      <c r="I27" s="550"/>
      <c r="J27" s="550"/>
      <c r="K27" s="550"/>
      <c r="L27" s="203"/>
      <c r="M27" s="203">
        <f aca="true" t="shared" si="2" ref="M27:M35">SUM(B27:L27)</f>
        <v>1100</v>
      </c>
      <c r="N27" s="549">
        <v>141339</v>
      </c>
      <c r="O27" s="549"/>
      <c r="P27" s="549">
        <v>149199.6</v>
      </c>
      <c r="Q27" s="549"/>
      <c r="R27" s="549">
        <f t="shared" si="1"/>
        <v>149199.6</v>
      </c>
      <c r="S27" s="549"/>
    </row>
    <row r="28" spans="1:19" ht="16.5" customHeight="1">
      <c r="A28" s="211" t="s">
        <v>109</v>
      </c>
      <c r="B28" s="550">
        <v>618</v>
      </c>
      <c r="C28" s="550"/>
      <c r="D28" s="550"/>
      <c r="E28" s="550"/>
      <c r="F28" s="550"/>
      <c r="G28" s="550"/>
      <c r="H28" s="550"/>
      <c r="I28" s="550"/>
      <c r="J28" s="550"/>
      <c r="K28" s="550"/>
      <c r="L28" s="203"/>
      <c r="M28" s="203">
        <f t="shared" si="2"/>
        <v>618</v>
      </c>
      <c r="N28" s="549">
        <v>79406.8</v>
      </c>
      <c r="O28" s="549"/>
      <c r="P28" s="549">
        <v>83823</v>
      </c>
      <c r="Q28" s="549"/>
      <c r="R28" s="549">
        <f t="shared" si="1"/>
        <v>83823</v>
      </c>
      <c r="S28" s="549"/>
    </row>
    <row r="29" spans="1:19" ht="16.5" customHeight="1">
      <c r="A29" s="206" t="s">
        <v>116</v>
      </c>
      <c r="B29" s="550">
        <v>69</v>
      </c>
      <c r="C29" s="550"/>
      <c r="D29" s="550"/>
      <c r="E29" s="550"/>
      <c r="F29" s="550"/>
      <c r="G29" s="550"/>
      <c r="H29" s="550"/>
      <c r="I29" s="550"/>
      <c r="J29" s="550"/>
      <c r="K29" s="550"/>
      <c r="L29" s="203">
        <v>262</v>
      </c>
      <c r="M29" s="203">
        <f t="shared" si="2"/>
        <v>331</v>
      </c>
      <c r="N29" s="549">
        <v>60781.1</v>
      </c>
      <c r="O29" s="549"/>
      <c r="P29" s="549">
        <v>64161.4</v>
      </c>
      <c r="Q29" s="549"/>
      <c r="R29" s="549">
        <f t="shared" si="1"/>
        <v>64161.4</v>
      </c>
      <c r="S29" s="549"/>
    </row>
    <row r="30" spans="1:19" ht="16.5" customHeight="1">
      <c r="A30" s="206" t="s">
        <v>112</v>
      </c>
      <c r="B30" s="550">
        <v>255</v>
      </c>
      <c r="C30" s="550"/>
      <c r="D30" s="550"/>
      <c r="E30" s="550"/>
      <c r="F30" s="550"/>
      <c r="G30" s="550"/>
      <c r="H30" s="550"/>
      <c r="I30" s="550"/>
      <c r="J30" s="550"/>
      <c r="K30" s="550"/>
      <c r="L30" s="203"/>
      <c r="M30" s="203">
        <f t="shared" si="2"/>
        <v>255</v>
      </c>
      <c r="N30" s="549">
        <v>32765</v>
      </c>
      <c r="O30" s="549"/>
      <c r="P30" s="549">
        <v>34587.2</v>
      </c>
      <c r="Q30" s="549"/>
      <c r="R30" s="549">
        <f t="shared" si="1"/>
        <v>34587.2</v>
      </c>
      <c r="S30" s="549"/>
    </row>
    <row r="31" spans="1:19" ht="16.5" customHeight="1">
      <c r="A31" s="206" t="s">
        <v>347</v>
      </c>
      <c r="B31" s="550">
        <v>715</v>
      </c>
      <c r="C31" s="550"/>
      <c r="D31" s="550">
        <v>65</v>
      </c>
      <c r="E31" s="550"/>
      <c r="F31" s="550"/>
      <c r="G31" s="550"/>
      <c r="H31" s="550"/>
      <c r="I31" s="550"/>
      <c r="J31" s="550"/>
      <c r="K31" s="550"/>
      <c r="L31" s="203"/>
      <c r="M31" s="203">
        <f t="shared" si="2"/>
        <v>780</v>
      </c>
      <c r="N31" s="549">
        <v>104582.40000000001</v>
      </c>
      <c r="O31" s="549"/>
      <c r="P31" s="549">
        <v>110398.8</v>
      </c>
      <c r="Q31" s="549"/>
      <c r="R31" s="549">
        <f t="shared" si="1"/>
        <v>110398.8</v>
      </c>
      <c r="S31" s="549"/>
    </row>
    <row r="32" spans="1:19" ht="16.5" customHeight="1">
      <c r="A32" s="206" t="s">
        <v>118</v>
      </c>
      <c r="B32" s="550">
        <v>441</v>
      </c>
      <c r="C32" s="550"/>
      <c r="D32" s="550"/>
      <c r="E32" s="550"/>
      <c r="F32" s="550"/>
      <c r="G32" s="550"/>
      <c r="H32" s="550"/>
      <c r="I32" s="550"/>
      <c r="J32" s="550"/>
      <c r="K32" s="550"/>
      <c r="L32" s="203"/>
      <c r="M32" s="203">
        <f t="shared" si="2"/>
        <v>441</v>
      </c>
      <c r="N32" s="549">
        <v>56664.1</v>
      </c>
      <c r="O32" s="549"/>
      <c r="P32" s="549">
        <v>59815.5</v>
      </c>
      <c r="Q32" s="549"/>
      <c r="R32" s="549">
        <f t="shared" si="1"/>
        <v>59815.5</v>
      </c>
      <c r="S32" s="549"/>
    </row>
    <row r="33" spans="1:19" ht="16.5" customHeight="1">
      <c r="A33" s="206" t="s">
        <v>119</v>
      </c>
      <c r="B33" s="550">
        <v>810</v>
      </c>
      <c r="C33" s="550"/>
      <c r="D33" s="550"/>
      <c r="E33" s="550"/>
      <c r="F33" s="550"/>
      <c r="G33" s="550"/>
      <c r="H33" s="550"/>
      <c r="I33" s="550"/>
      <c r="J33" s="550"/>
      <c r="K33" s="550"/>
      <c r="L33" s="203"/>
      <c r="M33" s="203">
        <f t="shared" si="2"/>
        <v>810</v>
      </c>
      <c r="N33" s="549">
        <v>104076.9</v>
      </c>
      <c r="O33" s="549"/>
      <c r="P33" s="549">
        <v>109865.1</v>
      </c>
      <c r="Q33" s="549"/>
      <c r="R33" s="549">
        <f t="shared" si="1"/>
        <v>109865.1</v>
      </c>
      <c r="S33" s="549"/>
    </row>
    <row r="34" spans="1:19" ht="16.5" customHeight="1">
      <c r="A34" s="206" t="s">
        <v>120</v>
      </c>
      <c r="B34" s="550">
        <v>976</v>
      </c>
      <c r="C34" s="550"/>
      <c r="D34" s="550"/>
      <c r="E34" s="550"/>
      <c r="F34" s="550"/>
      <c r="G34" s="550"/>
      <c r="H34" s="550"/>
      <c r="I34" s="550"/>
      <c r="J34" s="550"/>
      <c r="K34" s="550"/>
      <c r="L34" s="203"/>
      <c r="M34" s="203">
        <f t="shared" si="2"/>
        <v>976</v>
      </c>
      <c r="N34" s="549">
        <v>125406.2</v>
      </c>
      <c r="O34" s="549"/>
      <c r="P34" s="549">
        <v>132380.7</v>
      </c>
      <c r="Q34" s="549"/>
      <c r="R34" s="549">
        <f t="shared" si="1"/>
        <v>132380.7</v>
      </c>
      <c r="S34" s="549"/>
    </row>
    <row r="35" spans="1:19" ht="16.5" customHeight="1">
      <c r="A35" s="66" t="s">
        <v>12</v>
      </c>
      <c r="B35" s="550">
        <f>SUM(B26:B34)</f>
        <v>8586</v>
      </c>
      <c r="C35" s="550"/>
      <c r="D35" s="550">
        <f>SUM(D26:D34)</f>
        <v>6450</v>
      </c>
      <c r="E35" s="550"/>
      <c r="F35" s="550">
        <f>SUM(F26:F34)</f>
        <v>552</v>
      </c>
      <c r="G35" s="550"/>
      <c r="H35" s="550">
        <f>SUM(H26:H34)</f>
        <v>363</v>
      </c>
      <c r="I35" s="550"/>
      <c r="J35" s="550">
        <f>SUM(J26:J34)</f>
        <v>108</v>
      </c>
      <c r="K35" s="550"/>
      <c r="L35" s="203">
        <f>SUM(L26:L34)</f>
        <v>262</v>
      </c>
      <c r="M35" s="203">
        <f t="shared" si="2"/>
        <v>16321</v>
      </c>
      <c r="N35" s="549">
        <f>SUM(N26:N34)</f>
        <v>1920843.6</v>
      </c>
      <c r="O35" s="549"/>
      <c r="P35" s="549">
        <f>SUM(P26:P34)</f>
        <v>2019885.2</v>
      </c>
      <c r="Q35" s="549"/>
      <c r="R35" s="549">
        <f>SUM(R26:R34)</f>
        <v>2019885.2</v>
      </c>
      <c r="S35" s="549"/>
    </row>
  </sheetData>
  <sheetProtection/>
  <mergeCells count="102">
    <mergeCell ref="J30:K30"/>
    <mergeCell ref="J31:K31"/>
    <mergeCell ref="J32:K32"/>
    <mergeCell ref="J33:K33"/>
    <mergeCell ref="J34:K34"/>
    <mergeCell ref="J35:K35"/>
    <mergeCell ref="H31:I31"/>
    <mergeCell ref="H32:I32"/>
    <mergeCell ref="H33:I33"/>
    <mergeCell ref="H34:I34"/>
    <mergeCell ref="H35:I35"/>
    <mergeCell ref="J25:K25"/>
    <mergeCell ref="J26:K26"/>
    <mergeCell ref="J27:K27"/>
    <mergeCell ref="J28:K28"/>
    <mergeCell ref="J29:K29"/>
    <mergeCell ref="F33:G33"/>
    <mergeCell ref="F34:G34"/>
    <mergeCell ref="F35:G35"/>
    <mergeCell ref="F25:G25"/>
    <mergeCell ref="H25:I25"/>
    <mergeCell ref="H26:I26"/>
    <mergeCell ref="H27:I27"/>
    <mergeCell ref="H28:I28"/>
    <mergeCell ref="H29:I29"/>
    <mergeCell ref="H30:I30"/>
    <mergeCell ref="D33:E33"/>
    <mergeCell ref="D34:E34"/>
    <mergeCell ref="D35:E35"/>
    <mergeCell ref="F26:G26"/>
    <mergeCell ref="F27:G27"/>
    <mergeCell ref="F28:G28"/>
    <mergeCell ref="F29:G29"/>
    <mergeCell ref="F30:G30"/>
    <mergeCell ref="F31:G31"/>
    <mergeCell ref="F32:G32"/>
    <mergeCell ref="D27:E27"/>
    <mergeCell ref="D28:E28"/>
    <mergeCell ref="D29:E29"/>
    <mergeCell ref="D30:E30"/>
    <mergeCell ref="D31:E31"/>
    <mergeCell ref="D32:E32"/>
    <mergeCell ref="B30:C30"/>
    <mergeCell ref="B31:C31"/>
    <mergeCell ref="B32:C32"/>
    <mergeCell ref="B33:C33"/>
    <mergeCell ref="B34:C34"/>
    <mergeCell ref="B35:C35"/>
    <mergeCell ref="N31:O31"/>
    <mergeCell ref="N32:O32"/>
    <mergeCell ref="N33:O33"/>
    <mergeCell ref="N34:O34"/>
    <mergeCell ref="N35:O35"/>
    <mergeCell ref="B25:C25"/>
    <mergeCell ref="B26:C26"/>
    <mergeCell ref="B27:C27"/>
    <mergeCell ref="B28:C28"/>
    <mergeCell ref="B29:C29"/>
    <mergeCell ref="P31:Q31"/>
    <mergeCell ref="P32:Q32"/>
    <mergeCell ref="P33:Q33"/>
    <mergeCell ref="P34:Q34"/>
    <mergeCell ref="P35:Q35"/>
    <mergeCell ref="N26:O26"/>
    <mergeCell ref="N27:O27"/>
    <mergeCell ref="N28:O28"/>
    <mergeCell ref="N29:O29"/>
    <mergeCell ref="N30:O30"/>
    <mergeCell ref="R33:S33"/>
    <mergeCell ref="R34:S34"/>
    <mergeCell ref="R35:S35"/>
    <mergeCell ref="A2:S2"/>
    <mergeCell ref="A1:S1"/>
    <mergeCell ref="P26:Q26"/>
    <mergeCell ref="P27:Q27"/>
    <mergeCell ref="P28:Q28"/>
    <mergeCell ref="P29:Q29"/>
    <mergeCell ref="P30:Q30"/>
    <mergeCell ref="R27:S27"/>
    <mergeCell ref="R28:S28"/>
    <mergeCell ref="R29:S29"/>
    <mergeCell ref="R30:S30"/>
    <mergeCell ref="R31:S31"/>
    <mergeCell ref="R32:S32"/>
    <mergeCell ref="A22:A25"/>
    <mergeCell ref="N22:O25"/>
    <mergeCell ref="P22:Q25"/>
    <mergeCell ref="R22:S25"/>
    <mergeCell ref="R26:S26"/>
    <mergeCell ref="D25:E25"/>
    <mergeCell ref="D26:E26"/>
    <mergeCell ref="B22:M24"/>
    <mergeCell ref="A6:A9"/>
    <mergeCell ref="B6:S6"/>
    <mergeCell ref="B7:P7"/>
    <mergeCell ref="Q7:S7"/>
    <mergeCell ref="Q8:S8"/>
    <mergeCell ref="B8:D8"/>
    <mergeCell ref="E8:G8"/>
    <mergeCell ref="K8:M8"/>
    <mergeCell ref="N8:P8"/>
    <mergeCell ref="H8:J8"/>
  </mergeCells>
  <printOptions horizontalCentered="1"/>
  <pageMargins left="0.1968503937007874" right="0.1968503937007874" top="0.6692913385826772" bottom="0.31496062992125984" header="0.31496062992125984" footer="0.31496062992125984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65"/>
  <sheetViews>
    <sheetView zoomScalePageLayoutView="0" workbookViewId="0" topLeftCell="A1">
      <selection activeCell="S46" sqref="S46"/>
    </sheetView>
  </sheetViews>
  <sheetFormatPr defaultColWidth="23.75390625" defaultRowHeight="12.75"/>
  <cols>
    <col min="1" max="1" width="36.75390625" style="62" customWidth="1"/>
    <col min="2" max="2" width="10.00390625" style="58" hidden="1" customWidth="1"/>
    <col min="3" max="3" width="11.125" style="58" hidden="1" customWidth="1"/>
    <col min="4" max="4" width="12.625" style="58" hidden="1" customWidth="1"/>
    <col min="5" max="5" width="10.375" style="58" hidden="1" customWidth="1"/>
    <col min="6" max="6" width="10.875" style="58" hidden="1" customWidth="1"/>
    <col min="7" max="7" width="9.625" style="58" hidden="1" customWidth="1"/>
    <col min="8" max="8" width="10.875" style="58" hidden="1" customWidth="1"/>
    <col min="9" max="9" width="22.125" style="58" hidden="1" customWidth="1"/>
    <col min="10" max="11" width="14.375" style="58" hidden="1" customWidth="1"/>
    <col min="12" max="12" width="15.125" style="58" hidden="1" customWidth="1"/>
    <col min="13" max="13" width="9.125" style="58" hidden="1" customWidth="1"/>
    <col min="14" max="15" width="9.75390625" style="58" customWidth="1"/>
    <col min="16" max="16" width="12.25390625" style="58" customWidth="1"/>
    <col min="17" max="17" width="11.875" style="58" customWidth="1"/>
    <col min="18" max="18" width="11.375" style="58" customWidth="1"/>
    <col min="19" max="19" width="15.875" style="58" customWidth="1"/>
    <col min="20" max="20" width="21.125" style="58" customWidth="1"/>
    <col min="21" max="23" width="9.125" style="58" hidden="1" customWidth="1"/>
    <col min="24" max="24" width="9.625" style="58" hidden="1" customWidth="1"/>
    <col min="25" max="26" width="21.125" style="58" customWidth="1"/>
    <col min="27" max="247" width="9.125" style="58" customWidth="1"/>
    <col min="248" max="248" width="18.625" style="58" customWidth="1"/>
    <col min="249" max="249" width="12.875" style="58" customWidth="1"/>
    <col min="250" max="250" width="13.25390625" style="58" customWidth="1"/>
    <col min="251" max="251" width="12.625" style="58" customWidth="1"/>
    <col min="252" max="252" width="10.375" style="58" customWidth="1"/>
    <col min="253" max="253" width="9.00390625" style="58" customWidth="1"/>
    <col min="254" max="254" width="14.00390625" style="58" customWidth="1"/>
    <col min="255" max="255" width="0" style="58" hidden="1" customWidth="1"/>
    <col min="256" max="16384" width="23.75390625" style="58" customWidth="1"/>
  </cols>
  <sheetData>
    <row r="1" spans="1:26" ht="15.75">
      <c r="A1" s="493" t="s">
        <v>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</row>
    <row r="2" spans="1:26" ht="49.5" customHeight="1">
      <c r="A2" s="554" t="s">
        <v>307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</row>
    <row r="3" spans="1:20" ht="15.7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</row>
    <row r="4" spans="1:13" ht="15.75">
      <c r="A4" s="59"/>
      <c r="B4" s="60"/>
      <c r="C4" s="60"/>
      <c r="D4" s="60"/>
      <c r="E4" s="60"/>
      <c r="F4" s="60"/>
      <c r="G4" s="60"/>
      <c r="H4" s="60"/>
      <c r="I4" s="60"/>
      <c r="J4" s="60"/>
      <c r="L4" s="157" t="s">
        <v>30</v>
      </c>
      <c r="M4" s="158"/>
    </row>
    <row r="5" spans="1:26" s="160" customFormat="1" ht="67.5" customHeight="1">
      <c r="A5" s="555" t="s">
        <v>308</v>
      </c>
      <c r="B5" s="555" t="s">
        <v>166</v>
      </c>
      <c r="C5" s="555"/>
      <c r="D5" s="555"/>
      <c r="E5" s="555" t="s">
        <v>167</v>
      </c>
      <c r="F5" s="159" t="s">
        <v>168</v>
      </c>
      <c r="G5" s="555" t="s">
        <v>169</v>
      </c>
      <c r="H5" s="555"/>
      <c r="I5" s="555"/>
      <c r="J5" s="555" t="s">
        <v>218</v>
      </c>
      <c r="K5" s="555"/>
      <c r="L5" s="555"/>
      <c r="M5" s="159" t="s">
        <v>170</v>
      </c>
      <c r="N5" s="555" t="s">
        <v>171</v>
      </c>
      <c r="O5" s="555"/>
      <c r="P5" s="555"/>
      <c r="Q5" s="555" t="s">
        <v>172</v>
      </c>
      <c r="R5" s="555"/>
      <c r="S5" s="555" t="s">
        <v>304</v>
      </c>
      <c r="T5" s="555" t="s">
        <v>305</v>
      </c>
      <c r="U5" s="556" t="s">
        <v>173</v>
      </c>
      <c r="V5" s="556" t="s">
        <v>174</v>
      </c>
      <c r="W5" s="553" t="s">
        <v>175</v>
      </c>
      <c r="X5" s="553" t="s">
        <v>176</v>
      </c>
      <c r="Y5" s="555" t="s">
        <v>306</v>
      </c>
      <c r="Z5" s="555" t="s">
        <v>334</v>
      </c>
    </row>
    <row r="6" spans="1:26" s="160" customFormat="1" ht="77.25" customHeight="1">
      <c r="A6" s="555"/>
      <c r="B6" s="159" t="s">
        <v>177</v>
      </c>
      <c r="C6" s="159" t="s">
        <v>178</v>
      </c>
      <c r="D6" s="159" t="s">
        <v>179</v>
      </c>
      <c r="E6" s="555"/>
      <c r="F6" s="159"/>
      <c r="G6" s="159" t="s">
        <v>177</v>
      </c>
      <c r="H6" s="159" t="s">
        <v>178</v>
      </c>
      <c r="I6" s="159" t="s">
        <v>179</v>
      </c>
      <c r="J6" s="159" t="s">
        <v>177</v>
      </c>
      <c r="K6" s="159" t="s">
        <v>178</v>
      </c>
      <c r="L6" s="159" t="s">
        <v>179</v>
      </c>
      <c r="M6" s="159" t="s">
        <v>178</v>
      </c>
      <c r="N6" s="159" t="s">
        <v>180</v>
      </c>
      <c r="O6" s="159" t="s">
        <v>181</v>
      </c>
      <c r="P6" s="159" t="s">
        <v>179</v>
      </c>
      <c r="Q6" s="159" t="s">
        <v>182</v>
      </c>
      <c r="R6" s="159" t="s">
        <v>183</v>
      </c>
      <c r="S6" s="555"/>
      <c r="T6" s="555"/>
      <c r="U6" s="556"/>
      <c r="V6" s="556"/>
      <c r="W6" s="553"/>
      <c r="X6" s="553"/>
      <c r="Y6" s="555"/>
      <c r="Z6" s="555"/>
    </row>
    <row r="7" spans="1:26" s="165" customFormat="1" ht="15.75" customHeight="1">
      <c r="A7" s="161" t="s">
        <v>10</v>
      </c>
      <c r="B7" s="104" t="e">
        <f>SUM(#REF!)</f>
        <v>#REF!</v>
      </c>
      <c r="C7" s="104" t="e">
        <f>SUM(#REF!)</f>
        <v>#REF!</v>
      </c>
      <c r="D7" s="104" t="e">
        <f>SUM(#REF!)</f>
        <v>#REF!</v>
      </c>
      <c r="E7" s="104" t="e">
        <f>SUM(#REF!)</f>
        <v>#REF!</v>
      </c>
      <c r="F7" s="104" t="e">
        <f>SUM(#REF!)</f>
        <v>#REF!</v>
      </c>
      <c r="G7" s="104" t="e">
        <f>SUM(#REF!)</f>
        <v>#REF!</v>
      </c>
      <c r="H7" s="104" t="e">
        <f>SUM(#REF!)</f>
        <v>#REF!</v>
      </c>
      <c r="I7" s="104" t="e">
        <f>H7+G7</f>
        <v>#REF!</v>
      </c>
      <c r="J7" s="104" t="e">
        <f>SUM(#REF!)</f>
        <v>#REF!</v>
      </c>
      <c r="K7" s="104" t="e">
        <f>SUM(#REF!)</f>
        <v>#REF!</v>
      </c>
      <c r="L7" s="104" t="e">
        <f>K7+J7</f>
        <v>#REF!</v>
      </c>
      <c r="M7" s="104">
        <v>0.59</v>
      </c>
      <c r="N7" s="162">
        <v>3499</v>
      </c>
      <c r="O7" s="162">
        <v>3149</v>
      </c>
      <c r="P7" s="162">
        <v>6648</v>
      </c>
      <c r="Q7" s="163">
        <v>25</v>
      </c>
      <c r="R7" s="163">
        <v>10</v>
      </c>
      <c r="S7" s="162">
        <v>170</v>
      </c>
      <c r="T7" s="178">
        <v>20224</v>
      </c>
      <c r="U7" s="164" t="e">
        <f>SUM(#REF!)</f>
        <v>#REF!</v>
      </c>
      <c r="V7" s="164" t="e">
        <f>SUM(#REF!)</f>
        <v>#REF!</v>
      </c>
      <c r="W7" s="164" t="e">
        <f>SUM(#REF!)</f>
        <v>#REF!</v>
      </c>
      <c r="X7" s="164" t="e">
        <f>SUM(#REF!)</f>
        <v>#REF!</v>
      </c>
      <c r="Y7" s="178">
        <v>20224</v>
      </c>
      <c r="Z7" s="178">
        <v>20224</v>
      </c>
    </row>
    <row r="8" spans="1:26" s="165" customFormat="1" ht="15.75" customHeight="1">
      <c r="A8" s="161" t="s">
        <v>113</v>
      </c>
      <c r="B8" s="104">
        <f>SUM(B9:B17)</f>
        <v>361</v>
      </c>
      <c r="C8" s="104">
        <f>SUM(C9:C17)</f>
        <v>670</v>
      </c>
      <c r="D8" s="104">
        <f>SUM(D9:D17)</f>
        <v>1031</v>
      </c>
      <c r="E8" s="104">
        <f>SUM(E9:E17)</f>
        <v>1047</v>
      </c>
      <c r="F8" s="104"/>
      <c r="G8" s="104">
        <f aca="true" t="shared" si="0" ref="G8:L8">SUM(G9:G17)</f>
        <v>361</v>
      </c>
      <c r="H8" s="104">
        <f t="shared" si="0"/>
        <v>670</v>
      </c>
      <c r="I8" s="104">
        <f t="shared" si="0"/>
        <v>1031</v>
      </c>
      <c r="J8" s="104">
        <f t="shared" si="0"/>
        <v>433</v>
      </c>
      <c r="K8" s="104">
        <f t="shared" si="0"/>
        <v>621</v>
      </c>
      <c r="L8" s="104">
        <f t="shared" si="0"/>
        <v>1054</v>
      </c>
      <c r="M8" s="104">
        <v>0.8</v>
      </c>
      <c r="N8" s="162">
        <f>SUM(N9:N17)</f>
        <v>223</v>
      </c>
      <c r="O8" s="162">
        <f>SUM(O9:O17)</f>
        <v>248</v>
      </c>
      <c r="P8" s="162">
        <f>SUM(P9:P17)</f>
        <v>471</v>
      </c>
      <c r="Q8" s="163">
        <v>25</v>
      </c>
      <c r="R8" s="163">
        <v>10</v>
      </c>
      <c r="S8" s="162">
        <v>170</v>
      </c>
      <c r="T8" s="178">
        <f>SUM(T9:T17)</f>
        <v>1369.3500000000001</v>
      </c>
      <c r="U8" s="164">
        <f>SUM(U9:U17)</f>
        <v>0</v>
      </c>
      <c r="V8" s="164">
        <f>SUM(V9:V17)</f>
        <v>0</v>
      </c>
      <c r="W8" s="164">
        <f>SUM(W9:W17)</f>
        <v>1369.3500000000001</v>
      </c>
      <c r="X8" s="164">
        <f>SUM(X9:X17)</f>
        <v>1369.3500000000001</v>
      </c>
      <c r="Y8" s="178">
        <v>1369.3500000000001</v>
      </c>
      <c r="Z8" s="178">
        <v>1369.3500000000001</v>
      </c>
    </row>
    <row r="9" spans="1:26" s="165" customFormat="1" ht="15.75" customHeight="1" hidden="1">
      <c r="A9" s="161" t="s">
        <v>184</v>
      </c>
      <c r="B9" s="104">
        <v>250</v>
      </c>
      <c r="C9" s="104">
        <v>500</v>
      </c>
      <c r="D9" s="104">
        <f>C9+B9</f>
        <v>750</v>
      </c>
      <c r="E9" s="104">
        <v>763</v>
      </c>
      <c r="F9" s="104"/>
      <c r="G9" s="104">
        <f>B9</f>
        <v>250</v>
      </c>
      <c r="H9" s="104">
        <f>C9</f>
        <v>500</v>
      </c>
      <c r="I9" s="104">
        <f aca="true" t="shared" si="1" ref="I9:I17">H9+G9</f>
        <v>750</v>
      </c>
      <c r="J9" s="104">
        <v>317</v>
      </c>
      <c r="K9" s="104">
        <f>401+56</f>
        <v>457</v>
      </c>
      <c r="L9" s="104">
        <f>K9+J9</f>
        <v>774</v>
      </c>
      <c r="M9" s="104">
        <v>0.8</v>
      </c>
      <c r="N9" s="162">
        <v>123</v>
      </c>
      <c r="O9" s="162">
        <v>140</v>
      </c>
      <c r="P9" s="162">
        <f>O9+N9</f>
        <v>263</v>
      </c>
      <c r="Q9" s="163">
        <f>25</f>
        <v>25</v>
      </c>
      <c r="R9" s="163">
        <v>10</v>
      </c>
      <c r="S9" s="166">
        <v>170</v>
      </c>
      <c r="T9" s="178">
        <f aca="true" t="shared" si="2" ref="T9:T17">(Q9*N9+R9*O9)*S9/1000</f>
        <v>760.75</v>
      </c>
      <c r="U9" s="179"/>
      <c r="V9" s="179"/>
      <c r="W9" s="180">
        <f aca="true" t="shared" si="3" ref="W9:W17">T9</f>
        <v>760.75</v>
      </c>
      <c r="X9" s="180">
        <f aca="true" t="shared" si="4" ref="X9:X17">W9</f>
        <v>760.75</v>
      </c>
      <c r="Y9" s="178">
        <v>760.75</v>
      </c>
      <c r="Z9" s="178">
        <v>760.75</v>
      </c>
    </row>
    <row r="10" spans="1:26" s="165" customFormat="1" ht="15.75" customHeight="1" hidden="1">
      <c r="A10" s="161" t="s">
        <v>185</v>
      </c>
      <c r="B10" s="104">
        <v>40</v>
      </c>
      <c r="C10" s="104">
        <v>65</v>
      </c>
      <c r="D10" s="104">
        <f aca="true" t="shared" si="5" ref="D10:D17">C10+B10</f>
        <v>105</v>
      </c>
      <c r="E10" s="104">
        <v>112</v>
      </c>
      <c r="F10" s="104"/>
      <c r="G10" s="104">
        <f aca="true" t="shared" si="6" ref="G10:H17">B10</f>
        <v>40</v>
      </c>
      <c r="H10" s="104">
        <f t="shared" si="6"/>
        <v>65</v>
      </c>
      <c r="I10" s="104">
        <f t="shared" si="1"/>
        <v>105</v>
      </c>
      <c r="J10" s="104">
        <v>40</v>
      </c>
      <c r="K10" s="104">
        <f>105-40</f>
        <v>65</v>
      </c>
      <c r="L10" s="104">
        <f aca="true" t="shared" si="7" ref="L10:L17">K10+J10</f>
        <v>105</v>
      </c>
      <c r="M10" s="104">
        <v>0.8</v>
      </c>
      <c r="N10" s="162">
        <v>28</v>
      </c>
      <c r="O10" s="162">
        <v>41</v>
      </c>
      <c r="P10" s="162">
        <f aca="true" t="shared" si="8" ref="P10:P17">O10+N10</f>
        <v>69</v>
      </c>
      <c r="Q10" s="163">
        <f>25</f>
        <v>25</v>
      </c>
      <c r="R10" s="163">
        <v>10</v>
      </c>
      <c r="S10" s="166">
        <v>170</v>
      </c>
      <c r="T10" s="178">
        <f t="shared" si="2"/>
        <v>188.7</v>
      </c>
      <c r="U10" s="179"/>
      <c r="V10" s="179"/>
      <c r="W10" s="180">
        <f t="shared" si="3"/>
        <v>188.7</v>
      </c>
      <c r="X10" s="180">
        <f t="shared" si="4"/>
        <v>188.7</v>
      </c>
      <c r="Y10" s="178">
        <v>188.7</v>
      </c>
      <c r="Z10" s="178">
        <v>188.7</v>
      </c>
    </row>
    <row r="11" spans="1:26" s="165" customFormat="1" ht="15.75" customHeight="1" hidden="1">
      <c r="A11" s="161" t="s">
        <v>186</v>
      </c>
      <c r="B11" s="104">
        <v>14</v>
      </c>
      <c r="C11" s="104">
        <v>42</v>
      </c>
      <c r="D11" s="104">
        <f t="shared" si="5"/>
        <v>56</v>
      </c>
      <c r="E11" s="104">
        <v>55</v>
      </c>
      <c r="F11" s="104"/>
      <c r="G11" s="104">
        <f t="shared" si="6"/>
        <v>14</v>
      </c>
      <c r="H11" s="104">
        <f t="shared" si="6"/>
        <v>42</v>
      </c>
      <c r="I11" s="104">
        <f t="shared" si="1"/>
        <v>56</v>
      </c>
      <c r="J11" s="104">
        <v>14</v>
      </c>
      <c r="K11" s="104">
        <f>53-14</f>
        <v>39</v>
      </c>
      <c r="L11" s="104">
        <f t="shared" si="7"/>
        <v>53</v>
      </c>
      <c r="M11" s="104">
        <v>0.8</v>
      </c>
      <c r="N11" s="162">
        <f aca="true" t="shared" si="9" ref="N11:N17">J11</f>
        <v>14</v>
      </c>
      <c r="O11" s="162">
        <v>15</v>
      </c>
      <c r="P11" s="162">
        <f t="shared" si="8"/>
        <v>29</v>
      </c>
      <c r="Q11" s="163">
        <f>25</f>
        <v>25</v>
      </c>
      <c r="R11" s="163">
        <v>10</v>
      </c>
      <c r="S11" s="166">
        <v>170</v>
      </c>
      <c r="T11" s="178">
        <f t="shared" si="2"/>
        <v>85</v>
      </c>
      <c r="U11" s="179"/>
      <c r="V11" s="179"/>
      <c r="W11" s="180">
        <f t="shared" si="3"/>
        <v>85</v>
      </c>
      <c r="X11" s="180">
        <f t="shared" si="4"/>
        <v>85</v>
      </c>
      <c r="Y11" s="178">
        <v>85</v>
      </c>
      <c r="Z11" s="178">
        <v>85</v>
      </c>
    </row>
    <row r="12" spans="1:26" s="165" customFormat="1" ht="15.75" customHeight="1" hidden="1">
      <c r="A12" s="161" t="s">
        <v>187</v>
      </c>
      <c r="B12" s="104">
        <v>16</v>
      </c>
      <c r="C12" s="104">
        <v>39</v>
      </c>
      <c r="D12" s="104">
        <f t="shared" si="5"/>
        <v>55</v>
      </c>
      <c r="E12" s="104">
        <v>58</v>
      </c>
      <c r="F12" s="104"/>
      <c r="G12" s="104">
        <f t="shared" si="6"/>
        <v>16</v>
      </c>
      <c r="H12" s="104">
        <f t="shared" si="6"/>
        <v>39</v>
      </c>
      <c r="I12" s="104">
        <f t="shared" si="1"/>
        <v>55</v>
      </c>
      <c r="J12" s="104">
        <v>16</v>
      </c>
      <c r="K12" s="104">
        <f>55-16</f>
        <v>39</v>
      </c>
      <c r="L12" s="104">
        <f t="shared" si="7"/>
        <v>55</v>
      </c>
      <c r="M12" s="104">
        <v>0.8</v>
      </c>
      <c r="N12" s="162">
        <f t="shared" si="9"/>
        <v>16</v>
      </c>
      <c r="O12" s="162">
        <f aca="true" t="shared" si="10" ref="O12:O17">ROUND(K12*M12,0)</f>
        <v>31</v>
      </c>
      <c r="P12" s="162">
        <f t="shared" si="8"/>
        <v>47</v>
      </c>
      <c r="Q12" s="163">
        <f>25</f>
        <v>25</v>
      </c>
      <c r="R12" s="163">
        <v>10</v>
      </c>
      <c r="S12" s="166">
        <v>170</v>
      </c>
      <c r="T12" s="178">
        <f t="shared" si="2"/>
        <v>120.7</v>
      </c>
      <c r="U12" s="179"/>
      <c r="V12" s="179"/>
      <c r="W12" s="180">
        <f t="shared" si="3"/>
        <v>120.7</v>
      </c>
      <c r="X12" s="180">
        <f t="shared" si="4"/>
        <v>120.7</v>
      </c>
      <c r="Y12" s="178">
        <v>120.7</v>
      </c>
      <c r="Z12" s="178">
        <v>120.7</v>
      </c>
    </row>
    <row r="13" spans="1:26" s="165" customFormat="1" ht="15.75" customHeight="1" hidden="1">
      <c r="A13" s="161" t="s">
        <v>188</v>
      </c>
      <c r="B13" s="104">
        <v>6</v>
      </c>
      <c r="C13" s="104">
        <v>9</v>
      </c>
      <c r="D13" s="104">
        <f t="shared" si="5"/>
        <v>15</v>
      </c>
      <c r="E13" s="104">
        <v>15</v>
      </c>
      <c r="F13" s="104"/>
      <c r="G13" s="104">
        <f t="shared" si="6"/>
        <v>6</v>
      </c>
      <c r="H13" s="104">
        <f t="shared" si="6"/>
        <v>9</v>
      </c>
      <c r="I13" s="104">
        <f t="shared" si="1"/>
        <v>15</v>
      </c>
      <c r="J13" s="104">
        <v>7</v>
      </c>
      <c r="K13" s="104">
        <f>15-7</f>
        <v>8</v>
      </c>
      <c r="L13" s="104">
        <f t="shared" si="7"/>
        <v>15</v>
      </c>
      <c r="M13" s="104">
        <v>0.8</v>
      </c>
      <c r="N13" s="162">
        <f t="shared" si="9"/>
        <v>7</v>
      </c>
      <c r="O13" s="162">
        <f t="shared" si="10"/>
        <v>6</v>
      </c>
      <c r="P13" s="162">
        <f t="shared" si="8"/>
        <v>13</v>
      </c>
      <c r="Q13" s="163">
        <f>25</f>
        <v>25</v>
      </c>
      <c r="R13" s="163">
        <v>10</v>
      </c>
      <c r="S13" s="166">
        <v>170</v>
      </c>
      <c r="T13" s="178">
        <f t="shared" si="2"/>
        <v>39.95</v>
      </c>
      <c r="U13" s="179"/>
      <c r="V13" s="179"/>
      <c r="W13" s="180">
        <f t="shared" si="3"/>
        <v>39.95</v>
      </c>
      <c r="X13" s="180">
        <f t="shared" si="4"/>
        <v>39.95</v>
      </c>
      <c r="Y13" s="178">
        <v>39.95</v>
      </c>
      <c r="Z13" s="178">
        <v>39.95</v>
      </c>
    </row>
    <row r="14" spans="1:26" s="165" customFormat="1" ht="15.75" customHeight="1" hidden="1">
      <c r="A14" s="161" t="s">
        <v>189</v>
      </c>
      <c r="B14" s="104">
        <v>10</v>
      </c>
      <c r="C14" s="104">
        <v>15</v>
      </c>
      <c r="D14" s="104">
        <f t="shared" si="5"/>
        <v>25</v>
      </c>
      <c r="E14" s="104">
        <v>23</v>
      </c>
      <c r="F14" s="104"/>
      <c r="G14" s="104">
        <f t="shared" si="6"/>
        <v>10</v>
      </c>
      <c r="H14" s="104">
        <f t="shared" si="6"/>
        <v>15</v>
      </c>
      <c r="I14" s="104">
        <f t="shared" si="1"/>
        <v>25</v>
      </c>
      <c r="J14" s="104">
        <v>12</v>
      </c>
      <c r="K14" s="104">
        <f>25-12</f>
        <v>13</v>
      </c>
      <c r="L14" s="104">
        <f t="shared" si="7"/>
        <v>25</v>
      </c>
      <c r="M14" s="104">
        <v>0.8</v>
      </c>
      <c r="N14" s="162">
        <f t="shared" si="9"/>
        <v>12</v>
      </c>
      <c r="O14" s="162">
        <v>15</v>
      </c>
      <c r="P14" s="162">
        <f t="shared" si="8"/>
        <v>27</v>
      </c>
      <c r="Q14" s="163">
        <f>25</f>
        <v>25</v>
      </c>
      <c r="R14" s="163">
        <v>10</v>
      </c>
      <c r="S14" s="166">
        <v>170</v>
      </c>
      <c r="T14" s="178">
        <f t="shared" si="2"/>
        <v>76.5</v>
      </c>
      <c r="U14" s="179"/>
      <c r="V14" s="179"/>
      <c r="W14" s="180">
        <f t="shared" si="3"/>
        <v>76.5</v>
      </c>
      <c r="X14" s="180">
        <f t="shared" si="4"/>
        <v>76.5</v>
      </c>
      <c r="Y14" s="178">
        <v>76.5</v>
      </c>
      <c r="Z14" s="178">
        <v>76.5</v>
      </c>
    </row>
    <row r="15" spans="1:26" s="165" customFormat="1" ht="15.75" customHeight="1" hidden="1">
      <c r="A15" s="161" t="s">
        <v>190</v>
      </c>
      <c r="B15" s="104">
        <v>20</v>
      </c>
      <c r="C15" s="104">
        <v>0</v>
      </c>
      <c r="D15" s="104">
        <f t="shared" si="5"/>
        <v>20</v>
      </c>
      <c r="E15" s="104">
        <v>16</v>
      </c>
      <c r="F15" s="104"/>
      <c r="G15" s="104">
        <f t="shared" si="6"/>
        <v>20</v>
      </c>
      <c r="H15" s="104">
        <f t="shared" si="6"/>
        <v>0</v>
      </c>
      <c r="I15" s="104">
        <f t="shared" si="1"/>
        <v>20</v>
      </c>
      <c r="J15" s="104">
        <v>20</v>
      </c>
      <c r="K15" s="104">
        <v>0</v>
      </c>
      <c r="L15" s="104">
        <f t="shared" si="7"/>
        <v>20</v>
      </c>
      <c r="M15" s="104">
        <v>0.8</v>
      </c>
      <c r="N15" s="162">
        <v>16</v>
      </c>
      <c r="O15" s="162">
        <f t="shared" si="10"/>
        <v>0</v>
      </c>
      <c r="P15" s="162">
        <f t="shared" si="8"/>
        <v>16</v>
      </c>
      <c r="Q15" s="163">
        <f>25</f>
        <v>25</v>
      </c>
      <c r="R15" s="163">
        <v>10</v>
      </c>
      <c r="S15" s="166">
        <v>170</v>
      </c>
      <c r="T15" s="178">
        <f t="shared" si="2"/>
        <v>68</v>
      </c>
      <c r="U15" s="179"/>
      <c r="V15" s="179"/>
      <c r="W15" s="180">
        <f t="shared" si="3"/>
        <v>68</v>
      </c>
      <c r="X15" s="180">
        <f t="shared" si="4"/>
        <v>68</v>
      </c>
      <c r="Y15" s="178">
        <v>68</v>
      </c>
      <c r="Z15" s="178">
        <v>68</v>
      </c>
    </row>
    <row r="16" spans="1:26" s="165" customFormat="1" ht="15.75" customHeight="1" hidden="1">
      <c r="A16" s="161" t="s">
        <v>191</v>
      </c>
      <c r="B16" s="104">
        <v>3</v>
      </c>
      <c r="C16" s="104">
        <v>0</v>
      </c>
      <c r="D16" s="104">
        <f t="shared" si="5"/>
        <v>3</v>
      </c>
      <c r="E16" s="104">
        <v>2</v>
      </c>
      <c r="F16" s="104"/>
      <c r="G16" s="104">
        <f t="shared" si="6"/>
        <v>3</v>
      </c>
      <c r="H16" s="104">
        <f t="shared" si="6"/>
        <v>0</v>
      </c>
      <c r="I16" s="104">
        <f t="shared" si="1"/>
        <v>3</v>
      </c>
      <c r="J16" s="104">
        <v>3</v>
      </c>
      <c r="K16" s="104">
        <v>0</v>
      </c>
      <c r="L16" s="104">
        <f t="shared" si="7"/>
        <v>3</v>
      </c>
      <c r="M16" s="104">
        <v>0.8</v>
      </c>
      <c r="N16" s="162">
        <f t="shared" si="9"/>
        <v>3</v>
      </c>
      <c r="O16" s="162">
        <f t="shared" si="10"/>
        <v>0</v>
      </c>
      <c r="P16" s="162">
        <f t="shared" si="8"/>
        <v>3</v>
      </c>
      <c r="Q16" s="163">
        <f>25</f>
        <v>25</v>
      </c>
      <c r="R16" s="163">
        <v>10</v>
      </c>
      <c r="S16" s="166">
        <v>170</v>
      </c>
      <c r="T16" s="178">
        <f t="shared" si="2"/>
        <v>12.75</v>
      </c>
      <c r="U16" s="179"/>
      <c r="V16" s="179"/>
      <c r="W16" s="180">
        <f t="shared" si="3"/>
        <v>12.75</v>
      </c>
      <c r="X16" s="180">
        <f t="shared" si="4"/>
        <v>12.75</v>
      </c>
      <c r="Y16" s="178">
        <v>12.75</v>
      </c>
      <c r="Z16" s="178">
        <v>12.75</v>
      </c>
    </row>
    <row r="17" spans="1:26" s="165" customFormat="1" ht="15.75" customHeight="1" hidden="1">
      <c r="A17" s="161" t="s">
        <v>192</v>
      </c>
      <c r="B17" s="104">
        <v>2</v>
      </c>
      <c r="C17" s="104">
        <v>0</v>
      </c>
      <c r="D17" s="104">
        <f t="shared" si="5"/>
        <v>2</v>
      </c>
      <c r="E17" s="104">
        <v>3</v>
      </c>
      <c r="F17" s="104"/>
      <c r="G17" s="104">
        <f t="shared" si="6"/>
        <v>2</v>
      </c>
      <c r="H17" s="104">
        <f t="shared" si="6"/>
        <v>0</v>
      </c>
      <c r="I17" s="104">
        <f t="shared" si="1"/>
        <v>2</v>
      </c>
      <c r="J17" s="104">
        <v>4</v>
      </c>
      <c r="K17" s="104">
        <v>0</v>
      </c>
      <c r="L17" s="104">
        <f t="shared" si="7"/>
        <v>4</v>
      </c>
      <c r="M17" s="104">
        <v>0.8</v>
      </c>
      <c r="N17" s="162">
        <f t="shared" si="9"/>
        <v>4</v>
      </c>
      <c r="O17" s="162">
        <f t="shared" si="10"/>
        <v>0</v>
      </c>
      <c r="P17" s="162">
        <f t="shared" si="8"/>
        <v>4</v>
      </c>
      <c r="Q17" s="163">
        <f>25</f>
        <v>25</v>
      </c>
      <c r="R17" s="163">
        <v>10</v>
      </c>
      <c r="S17" s="166">
        <v>170</v>
      </c>
      <c r="T17" s="178">
        <f t="shared" si="2"/>
        <v>17</v>
      </c>
      <c r="U17" s="179"/>
      <c r="V17" s="179"/>
      <c r="W17" s="180">
        <f t="shared" si="3"/>
        <v>17</v>
      </c>
      <c r="X17" s="180">
        <f t="shared" si="4"/>
        <v>17</v>
      </c>
      <c r="Y17" s="178">
        <v>17</v>
      </c>
      <c r="Z17" s="178">
        <v>17</v>
      </c>
    </row>
    <row r="18" spans="1:26" s="165" customFormat="1" ht="15.75" customHeight="1" hidden="1">
      <c r="A18" s="161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62"/>
      <c r="O18" s="162"/>
      <c r="P18" s="162"/>
      <c r="Q18" s="163"/>
      <c r="R18" s="163"/>
      <c r="S18" s="162"/>
      <c r="T18" s="178"/>
      <c r="U18" s="179"/>
      <c r="V18" s="179"/>
      <c r="W18" s="181"/>
      <c r="X18" s="181"/>
      <c r="Y18" s="178"/>
      <c r="Z18" s="178"/>
    </row>
    <row r="19" spans="1:26" s="165" customFormat="1" ht="15.75" customHeight="1">
      <c r="A19" s="161" t="s">
        <v>109</v>
      </c>
      <c r="B19" s="104">
        <f>B20+B21+B22</f>
        <v>292</v>
      </c>
      <c r="C19" s="104">
        <f aca="true" t="shared" si="11" ref="C19:K19">C20+C21+C22</f>
        <v>344</v>
      </c>
      <c r="D19" s="104">
        <f t="shared" si="11"/>
        <v>636</v>
      </c>
      <c r="E19" s="104">
        <f t="shared" si="11"/>
        <v>625</v>
      </c>
      <c r="F19" s="104">
        <v>627</v>
      </c>
      <c r="G19" s="104">
        <f t="shared" si="11"/>
        <v>292</v>
      </c>
      <c r="H19" s="104">
        <f t="shared" si="11"/>
        <v>344</v>
      </c>
      <c r="I19" s="104">
        <f>H19+G19</f>
        <v>636</v>
      </c>
      <c r="J19" s="104">
        <f t="shared" si="11"/>
        <v>244</v>
      </c>
      <c r="K19" s="104">
        <f t="shared" si="11"/>
        <v>393</v>
      </c>
      <c r="L19" s="104">
        <f>K19+J19</f>
        <v>637</v>
      </c>
      <c r="M19" s="104">
        <v>0.8</v>
      </c>
      <c r="N19" s="162">
        <f>N20+N21+N22</f>
        <v>204</v>
      </c>
      <c r="O19" s="162">
        <f>O20+O21+O22</f>
        <v>251</v>
      </c>
      <c r="P19" s="162">
        <f>P20+P21+P22</f>
        <v>455</v>
      </c>
      <c r="Q19" s="163">
        <v>25</v>
      </c>
      <c r="R19" s="163">
        <v>10</v>
      </c>
      <c r="S19" s="162">
        <v>170</v>
      </c>
      <c r="T19" s="178">
        <v>1293.6</v>
      </c>
      <c r="U19" s="164">
        <f>U20+U21+U22</f>
        <v>0</v>
      </c>
      <c r="V19" s="164">
        <f>V20+V21+V22</f>
        <v>0</v>
      </c>
      <c r="W19" s="164">
        <f>W20+W21+W22</f>
        <v>1293.7</v>
      </c>
      <c r="X19" s="164">
        <f>X20+X21+X22</f>
        <v>1293.7</v>
      </c>
      <c r="Y19" s="178">
        <v>1293.6</v>
      </c>
      <c r="Z19" s="178">
        <v>1293.6</v>
      </c>
    </row>
    <row r="20" spans="1:26" s="165" customFormat="1" ht="15.75" customHeight="1" hidden="1">
      <c r="A20" s="161" t="s">
        <v>193</v>
      </c>
      <c r="B20" s="104">
        <v>160</v>
      </c>
      <c r="C20" s="104">
        <v>205</v>
      </c>
      <c r="D20" s="104">
        <f>C20+B20</f>
        <v>365</v>
      </c>
      <c r="E20" s="104">
        <v>361</v>
      </c>
      <c r="F20" s="104"/>
      <c r="G20" s="104">
        <v>160</v>
      </c>
      <c r="H20" s="104">
        <v>205</v>
      </c>
      <c r="I20" s="104">
        <f>H20+G20</f>
        <v>365</v>
      </c>
      <c r="J20" s="104">
        <f>26+20+20+20+20+20</f>
        <v>126</v>
      </c>
      <c r="K20" s="104">
        <f>363-126</f>
        <v>237</v>
      </c>
      <c r="L20" s="104">
        <f>K20+J20</f>
        <v>363</v>
      </c>
      <c r="M20" s="104">
        <v>0.8</v>
      </c>
      <c r="N20" s="162">
        <v>108</v>
      </c>
      <c r="O20" s="162">
        <v>151</v>
      </c>
      <c r="P20" s="162">
        <f>O20+N20</f>
        <v>259</v>
      </c>
      <c r="Q20" s="163">
        <f>25</f>
        <v>25</v>
      </c>
      <c r="R20" s="163">
        <v>10</v>
      </c>
      <c r="S20" s="162">
        <v>170</v>
      </c>
      <c r="T20" s="178">
        <f>(Q20*N20+R20*O20)*S20/1000</f>
        <v>715.7</v>
      </c>
      <c r="U20" s="179"/>
      <c r="V20" s="179"/>
      <c r="W20" s="180">
        <f>T20</f>
        <v>715.7</v>
      </c>
      <c r="X20" s="180">
        <f>W20</f>
        <v>715.7</v>
      </c>
      <c r="Y20" s="178">
        <v>715.7</v>
      </c>
      <c r="Z20" s="178">
        <v>715.7</v>
      </c>
    </row>
    <row r="21" spans="1:26" s="165" customFormat="1" ht="15.75" customHeight="1" hidden="1">
      <c r="A21" s="161" t="s">
        <v>149</v>
      </c>
      <c r="B21" s="104">
        <v>66</v>
      </c>
      <c r="C21" s="104">
        <v>81</v>
      </c>
      <c r="D21" s="104">
        <f>C21+B21</f>
        <v>147</v>
      </c>
      <c r="E21" s="104">
        <f>145</f>
        <v>145</v>
      </c>
      <c r="F21" s="104"/>
      <c r="G21" s="104">
        <v>66</v>
      </c>
      <c r="H21" s="104">
        <v>81</v>
      </c>
      <c r="I21" s="104">
        <f>H21+G21</f>
        <v>147</v>
      </c>
      <c r="J21" s="104">
        <f>17+19+13+12</f>
        <v>61</v>
      </c>
      <c r="K21" s="104">
        <f>143-61</f>
        <v>82</v>
      </c>
      <c r="L21" s="104">
        <f>K21+J21</f>
        <v>143</v>
      </c>
      <c r="M21" s="104">
        <v>0.8</v>
      </c>
      <c r="N21" s="162">
        <v>51</v>
      </c>
      <c r="O21" s="162">
        <v>54</v>
      </c>
      <c r="P21" s="162">
        <f>O21+N21</f>
        <v>105</v>
      </c>
      <c r="Q21" s="163">
        <f>25</f>
        <v>25</v>
      </c>
      <c r="R21" s="163">
        <v>10</v>
      </c>
      <c r="S21" s="162">
        <v>170</v>
      </c>
      <c r="T21" s="178">
        <f>(Q21*N21+R21*O21)*S21/1000</f>
        <v>308.55</v>
      </c>
      <c r="U21" s="179"/>
      <c r="V21" s="179"/>
      <c r="W21" s="180">
        <f>T21</f>
        <v>308.55</v>
      </c>
      <c r="X21" s="180">
        <f>W21</f>
        <v>308.55</v>
      </c>
      <c r="Y21" s="178">
        <v>308.55</v>
      </c>
      <c r="Z21" s="178">
        <v>308.55</v>
      </c>
    </row>
    <row r="22" spans="1:26" s="165" customFormat="1" ht="15.75" customHeight="1" hidden="1">
      <c r="A22" s="161" t="s">
        <v>194</v>
      </c>
      <c r="B22" s="104">
        <v>66</v>
      </c>
      <c r="C22" s="104">
        <v>58</v>
      </c>
      <c r="D22" s="104">
        <f>C22+B22</f>
        <v>124</v>
      </c>
      <c r="E22" s="104">
        <f>64+18+37</f>
        <v>119</v>
      </c>
      <c r="F22" s="104"/>
      <c r="G22" s="104">
        <v>66</v>
      </c>
      <c r="H22" s="104">
        <v>58</v>
      </c>
      <c r="I22" s="104">
        <f>H22+G22</f>
        <v>124</v>
      </c>
      <c r="J22" s="104">
        <f>15+15+11+16</f>
        <v>57</v>
      </c>
      <c r="K22" s="104">
        <f>131-57</f>
        <v>74</v>
      </c>
      <c r="L22" s="104">
        <f>K22+J22</f>
        <v>131</v>
      </c>
      <c r="M22" s="104">
        <v>0.8</v>
      </c>
      <c r="N22" s="162">
        <v>45</v>
      </c>
      <c r="O22" s="162">
        <v>46</v>
      </c>
      <c r="P22" s="162">
        <f>O22+N22</f>
        <v>91</v>
      </c>
      <c r="Q22" s="163">
        <f>25</f>
        <v>25</v>
      </c>
      <c r="R22" s="163">
        <v>10</v>
      </c>
      <c r="S22" s="162">
        <v>170</v>
      </c>
      <c r="T22" s="178">
        <f>(Q22*N22+R22*O22)*S22/1000</f>
        <v>269.45</v>
      </c>
      <c r="U22" s="179"/>
      <c r="V22" s="179"/>
      <c r="W22" s="180">
        <f>T22</f>
        <v>269.45</v>
      </c>
      <c r="X22" s="180">
        <f>W22</f>
        <v>269.45</v>
      </c>
      <c r="Y22" s="178">
        <v>269.45</v>
      </c>
      <c r="Z22" s="178">
        <v>269.45</v>
      </c>
    </row>
    <row r="23" spans="1:26" s="165" customFormat="1" ht="15.75" customHeight="1" hidden="1">
      <c r="A23" s="161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62"/>
      <c r="O23" s="162"/>
      <c r="P23" s="162"/>
      <c r="Q23" s="163"/>
      <c r="R23" s="163"/>
      <c r="S23" s="162"/>
      <c r="T23" s="178"/>
      <c r="U23" s="179"/>
      <c r="V23" s="179"/>
      <c r="W23" s="181"/>
      <c r="X23" s="181"/>
      <c r="Y23" s="178"/>
      <c r="Z23" s="178"/>
    </row>
    <row r="24" spans="1:26" s="165" customFormat="1" ht="15.75" customHeight="1">
      <c r="A24" s="161" t="s">
        <v>116</v>
      </c>
      <c r="B24" s="104">
        <f>B25+B26+B27+B28+B29</f>
        <v>126</v>
      </c>
      <c r="C24" s="104">
        <f aca="true" t="shared" si="12" ref="C24:L24">C25+C26+C27+C28+C29</f>
        <v>193</v>
      </c>
      <c r="D24" s="104">
        <f t="shared" si="12"/>
        <v>319</v>
      </c>
      <c r="E24" s="104">
        <f t="shared" si="12"/>
        <v>319</v>
      </c>
      <c r="F24" s="104">
        <f t="shared" si="12"/>
        <v>0</v>
      </c>
      <c r="G24" s="104">
        <f t="shared" si="12"/>
        <v>126</v>
      </c>
      <c r="H24" s="104">
        <f t="shared" si="12"/>
        <v>193</v>
      </c>
      <c r="I24" s="104">
        <f t="shared" si="12"/>
        <v>319</v>
      </c>
      <c r="J24" s="104">
        <f t="shared" si="12"/>
        <v>128</v>
      </c>
      <c r="K24" s="104">
        <f t="shared" si="12"/>
        <v>195</v>
      </c>
      <c r="L24" s="104">
        <f t="shared" si="12"/>
        <v>323</v>
      </c>
      <c r="M24" s="104">
        <v>0.8</v>
      </c>
      <c r="N24" s="162">
        <f>N25+N26+N27+N28+N29</f>
        <v>88</v>
      </c>
      <c r="O24" s="162">
        <f>O25+O26+O27+O28+O29</f>
        <v>147</v>
      </c>
      <c r="P24" s="162">
        <f>P25+P26+P27+P28+P29</f>
        <v>235</v>
      </c>
      <c r="Q24" s="163">
        <v>25</v>
      </c>
      <c r="R24" s="163">
        <v>10</v>
      </c>
      <c r="S24" s="162">
        <v>170</v>
      </c>
      <c r="T24" s="178">
        <f>T25+T26+T27+T28+T29</f>
        <v>623.9000000000001</v>
      </c>
      <c r="U24" s="164">
        <f>U25+U26+U27+U28+U29</f>
        <v>0</v>
      </c>
      <c r="V24" s="164">
        <f>V25+V26+V27+V28+V29</f>
        <v>0</v>
      </c>
      <c r="W24" s="164">
        <f>W25+W26+W27+W28+W29</f>
        <v>623.9000000000001</v>
      </c>
      <c r="X24" s="164">
        <f>X25+X26+X27+X28+X29</f>
        <v>623.9000000000001</v>
      </c>
      <c r="Y24" s="178">
        <v>623.9000000000001</v>
      </c>
      <c r="Z24" s="178">
        <v>623.9000000000001</v>
      </c>
    </row>
    <row r="25" spans="1:26" s="165" customFormat="1" ht="15.75" customHeight="1" hidden="1">
      <c r="A25" s="161" t="s">
        <v>195</v>
      </c>
      <c r="B25" s="104">
        <v>108</v>
      </c>
      <c r="C25" s="104">
        <v>187</v>
      </c>
      <c r="D25" s="104">
        <f>C25+B25</f>
        <v>295</v>
      </c>
      <c r="E25" s="104">
        <v>299</v>
      </c>
      <c r="F25" s="104"/>
      <c r="G25" s="104">
        <v>108</v>
      </c>
      <c r="H25" s="104">
        <v>187</v>
      </c>
      <c r="I25" s="104">
        <f>H25+G25</f>
        <v>295</v>
      </c>
      <c r="J25" s="104">
        <v>111</v>
      </c>
      <c r="K25" s="104">
        <v>188</v>
      </c>
      <c r="L25" s="104">
        <f>K25+J25</f>
        <v>299</v>
      </c>
      <c r="M25" s="104">
        <v>0.8</v>
      </c>
      <c r="N25" s="162">
        <v>71</v>
      </c>
      <c r="O25" s="162">
        <v>141</v>
      </c>
      <c r="P25" s="162">
        <f>O25+N25</f>
        <v>212</v>
      </c>
      <c r="Q25" s="163">
        <f>25</f>
        <v>25</v>
      </c>
      <c r="R25" s="163">
        <v>10</v>
      </c>
      <c r="S25" s="162">
        <v>170</v>
      </c>
      <c r="T25" s="178">
        <f>(Q25*N25+R25*O25)*S25/1000</f>
        <v>541.45</v>
      </c>
      <c r="U25" s="179"/>
      <c r="V25" s="179"/>
      <c r="W25" s="180">
        <f>T25</f>
        <v>541.45</v>
      </c>
      <c r="X25" s="180">
        <f>W25</f>
        <v>541.45</v>
      </c>
      <c r="Y25" s="178">
        <v>541.45</v>
      </c>
      <c r="Z25" s="178">
        <v>541.45</v>
      </c>
    </row>
    <row r="26" spans="1:26" s="165" customFormat="1" ht="15.75" customHeight="1" hidden="1">
      <c r="A26" s="161" t="s">
        <v>196</v>
      </c>
      <c r="B26" s="104">
        <v>3</v>
      </c>
      <c r="C26" s="104">
        <v>6</v>
      </c>
      <c r="D26" s="104">
        <f>C26+B26</f>
        <v>9</v>
      </c>
      <c r="E26" s="104">
        <v>8</v>
      </c>
      <c r="F26" s="104"/>
      <c r="G26" s="104">
        <v>3</v>
      </c>
      <c r="H26" s="104">
        <v>6</v>
      </c>
      <c r="I26" s="104">
        <f>H26+G26</f>
        <v>9</v>
      </c>
      <c r="J26" s="104">
        <v>3</v>
      </c>
      <c r="K26" s="104">
        <v>7</v>
      </c>
      <c r="L26" s="104">
        <f>K26+J26</f>
        <v>10</v>
      </c>
      <c r="M26" s="104">
        <v>0.8</v>
      </c>
      <c r="N26" s="162">
        <f>J26</f>
        <v>3</v>
      </c>
      <c r="O26" s="162">
        <f>ROUND(K26*M26,0)</f>
        <v>6</v>
      </c>
      <c r="P26" s="162">
        <f>O26+N26</f>
        <v>9</v>
      </c>
      <c r="Q26" s="163">
        <f>25</f>
        <v>25</v>
      </c>
      <c r="R26" s="163">
        <v>10</v>
      </c>
      <c r="S26" s="162">
        <v>170</v>
      </c>
      <c r="T26" s="178">
        <f>(Q26*N26+R26*O26)*S26/1000</f>
        <v>22.95</v>
      </c>
      <c r="U26" s="179"/>
      <c r="V26" s="179"/>
      <c r="W26" s="180">
        <f>T26</f>
        <v>22.95</v>
      </c>
      <c r="X26" s="180">
        <f>W26</f>
        <v>22.95</v>
      </c>
      <c r="Y26" s="178">
        <v>22.95</v>
      </c>
      <c r="Z26" s="178">
        <v>22.95</v>
      </c>
    </row>
    <row r="27" spans="1:26" s="165" customFormat="1" ht="15.75" customHeight="1" hidden="1">
      <c r="A27" s="161" t="s">
        <v>197</v>
      </c>
      <c r="B27" s="104">
        <v>5</v>
      </c>
      <c r="C27" s="104">
        <v>0</v>
      </c>
      <c r="D27" s="104">
        <f>C27+B27</f>
        <v>5</v>
      </c>
      <c r="E27" s="104">
        <v>5</v>
      </c>
      <c r="F27" s="104"/>
      <c r="G27" s="104">
        <v>5</v>
      </c>
      <c r="H27" s="104">
        <v>0</v>
      </c>
      <c r="I27" s="104">
        <f>H27+G27</f>
        <v>5</v>
      </c>
      <c r="J27" s="104">
        <v>6</v>
      </c>
      <c r="K27" s="104">
        <v>0</v>
      </c>
      <c r="L27" s="104">
        <f>K27+J27</f>
        <v>6</v>
      </c>
      <c r="M27" s="104">
        <v>0.8</v>
      </c>
      <c r="N27" s="162">
        <f>J27</f>
        <v>6</v>
      </c>
      <c r="O27" s="162">
        <f>ROUND(K27*M27,0)</f>
        <v>0</v>
      </c>
      <c r="P27" s="162">
        <f>O27+N27</f>
        <v>6</v>
      </c>
      <c r="Q27" s="163">
        <f>25</f>
        <v>25</v>
      </c>
      <c r="R27" s="163">
        <v>10</v>
      </c>
      <c r="S27" s="162">
        <v>170</v>
      </c>
      <c r="T27" s="178">
        <f>(Q27*N27+R27*O27)*S27/1000</f>
        <v>25.5</v>
      </c>
      <c r="U27" s="179"/>
      <c r="V27" s="179"/>
      <c r="W27" s="180">
        <f>T27</f>
        <v>25.5</v>
      </c>
      <c r="X27" s="180">
        <f>W27</f>
        <v>25.5</v>
      </c>
      <c r="Y27" s="178">
        <v>25.5</v>
      </c>
      <c r="Z27" s="178">
        <v>25.5</v>
      </c>
    </row>
    <row r="28" spans="1:26" s="165" customFormat="1" ht="15.75" customHeight="1" hidden="1">
      <c r="A28" s="161" t="s">
        <v>198</v>
      </c>
      <c r="B28" s="104">
        <v>5</v>
      </c>
      <c r="C28" s="104">
        <v>0</v>
      </c>
      <c r="D28" s="104">
        <f>C28+B28</f>
        <v>5</v>
      </c>
      <c r="E28" s="104">
        <v>3</v>
      </c>
      <c r="F28" s="104"/>
      <c r="G28" s="104">
        <v>5</v>
      </c>
      <c r="H28" s="104">
        <v>0</v>
      </c>
      <c r="I28" s="104">
        <f>H28+G28</f>
        <v>5</v>
      </c>
      <c r="J28" s="104">
        <v>5</v>
      </c>
      <c r="K28" s="104">
        <v>0</v>
      </c>
      <c r="L28" s="104">
        <f>K28+J28</f>
        <v>5</v>
      </c>
      <c r="M28" s="104">
        <v>0.8</v>
      </c>
      <c r="N28" s="162">
        <f>J28</f>
        <v>5</v>
      </c>
      <c r="O28" s="162">
        <f>ROUND(K28*M28,0)</f>
        <v>0</v>
      </c>
      <c r="P28" s="162">
        <f>O28+N28</f>
        <v>5</v>
      </c>
      <c r="Q28" s="163">
        <f>25</f>
        <v>25</v>
      </c>
      <c r="R28" s="163">
        <v>10</v>
      </c>
      <c r="S28" s="162">
        <v>170</v>
      </c>
      <c r="T28" s="178">
        <f>(Q28*N28+R28*O28)*S28/1000</f>
        <v>21.25</v>
      </c>
      <c r="U28" s="179"/>
      <c r="V28" s="179"/>
      <c r="W28" s="180">
        <f>T28</f>
        <v>21.25</v>
      </c>
      <c r="X28" s="180">
        <f>W28</f>
        <v>21.25</v>
      </c>
      <c r="Y28" s="178">
        <v>21.25</v>
      </c>
      <c r="Z28" s="178">
        <v>21.25</v>
      </c>
    </row>
    <row r="29" spans="1:26" s="165" customFormat="1" ht="15.75" customHeight="1" hidden="1">
      <c r="A29" s="161" t="s">
        <v>199</v>
      </c>
      <c r="B29" s="104">
        <v>5</v>
      </c>
      <c r="C29" s="104">
        <v>0</v>
      </c>
      <c r="D29" s="104">
        <f>C29+B29</f>
        <v>5</v>
      </c>
      <c r="E29" s="104">
        <v>4</v>
      </c>
      <c r="F29" s="104"/>
      <c r="G29" s="104">
        <v>5</v>
      </c>
      <c r="H29" s="104">
        <v>0</v>
      </c>
      <c r="I29" s="104">
        <f>H29+G29</f>
        <v>5</v>
      </c>
      <c r="J29" s="104">
        <v>3</v>
      </c>
      <c r="K29" s="104">
        <v>0</v>
      </c>
      <c r="L29" s="104">
        <f>K29+J29</f>
        <v>3</v>
      </c>
      <c r="M29" s="104">
        <v>0.8</v>
      </c>
      <c r="N29" s="162">
        <f>J29</f>
        <v>3</v>
      </c>
      <c r="O29" s="162">
        <f>ROUND(K29*M29,0)</f>
        <v>0</v>
      </c>
      <c r="P29" s="162">
        <f>O29+N29</f>
        <v>3</v>
      </c>
      <c r="Q29" s="163">
        <f>25</f>
        <v>25</v>
      </c>
      <c r="R29" s="163">
        <v>10</v>
      </c>
      <c r="S29" s="162">
        <v>170</v>
      </c>
      <c r="T29" s="178">
        <f>(Q29*N29+R29*O29)*S29/1000</f>
        <v>12.75</v>
      </c>
      <c r="U29" s="179"/>
      <c r="V29" s="179"/>
      <c r="W29" s="180">
        <f>T29</f>
        <v>12.75</v>
      </c>
      <c r="X29" s="180">
        <f>W29</f>
        <v>12.75</v>
      </c>
      <c r="Y29" s="178">
        <v>12.75</v>
      </c>
      <c r="Z29" s="178">
        <v>12.75</v>
      </c>
    </row>
    <row r="30" spans="1:26" s="165" customFormat="1" ht="15.75" customHeight="1" hidden="1">
      <c r="A30" s="161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62"/>
      <c r="O30" s="162"/>
      <c r="P30" s="162"/>
      <c r="Q30" s="163"/>
      <c r="R30" s="163"/>
      <c r="S30" s="162"/>
      <c r="T30" s="178"/>
      <c r="U30" s="179"/>
      <c r="V30" s="179"/>
      <c r="W30" s="181"/>
      <c r="X30" s="181"/>
      <c r="Y30" s="178"/>
      <c r="Z30" s="178"/>
    </row>
    <row r="31" spans="1:26" s="165" customFormat="1" ht="15.75" customHeight="1">
      <c r="A31" s="161" t="s">
        <v>112</v>
      </c>
      <c r="B31" s="167">
        <f>B32+B33</f>
        <v>116</v>
      </c>
      <c r="C31" s="167">
        <f aca="true" t="shared" si="13" ref="C31:K31">C32+C33</f>
        <v>165</v>
      </c>
      <c r="D31" s="167">
        <f t="shared" si="13"/>
        <v>281</v>
      </c>
      <c r="E31" s="167">
        <f>E32+E33</f>
        <v>275</v>
      </c>
      <c r="F31" s="167">
        <v>270</v>
      </c>
      <c r="G31" s="167">
        <f t="shared" si="13"/>
        <v>116</v>
      </c>
      <c r="H31" s="167">
        <f t="shared" si="13"/>
        <v>165</v>
      </c>
      <c r="I31" s="104">
        <f>H31+G31</f>
        <v>281</v>
      </c>
      <c r="J31" s="167">
        <f t="shared" si="13"/>
        <v>117</v>
      </c>
      <c r="K31" s="167">
        <f t="shared" si="13"/>
        <v>167</v>
      </c>
      <c r="L31" s="104">
        <f>K31+J31</f>
        <v>284</v>
      </c>
      <c r="M31" s="104">
        <v>0.8</v>
      </c>
      <c r="N31" s="162">
        <f>N32+N33</f>
        <v>102</v>
      </c>
      <c r="O31" s="162">
        <f>O32+O33</f>
        <v>110</v>
      </c>
      <c r="P31" s="162">
        <f>P32+P33</f>
        <v>212</v>
      </c>
      <c r="Q31" s="163">
        <v>25</v>
      </c>
      <c r="R31" s="163">
        <v>10</v>
      </c>
      <c r="S31" s="166">
        <v>170</v>
      </c>
      <c r="T31" s="178">
        <f>T32+T33</f>
        <v>620.5</v>
      </c>
      <c r="U31" s="164">
        <f>U32+U33</f>
        <v>0</v>
      </c>
      <c r="V31" s="164">
        <f>V32+V33</f>
        <v>0</v>
      </c>
      <c r="W31" s="164">
        <f>W32+W33</f>
        <v>620.5</v>
      </c>
      <c r="X31" s="164">
        <f>X32+X33</f>
        <v>620.5</v>
      </c>
      <c r="Y31" s="178">
        <v>620.5</v>
      </c>
      <c r="Z31" s="178">
        <v>620.5</v>
      </c>
    </row>
    <row r="32" spans="1:26" s="165" customFormat="1" ht="15.75" customHeight="1" hidden="1">
      <c r="A32" s="161" t="s">
        <v>200</v>
      </c>
      <c r="B32" s="167">
        <v>102</v>
      </c>
      <c r="C32" s="167">
        <v>146</v>
      </c>
      <c r="D32" s="104">
        <f>C32+B32</f>
        <v>248</v>
      </c>
      <c r="E32" s="167">
        <f>241+5</f>
        <v>246</v>
      </c>
      <c r="F32" s="167"/>
      <c r="G32" s="167">
        <v>102</v>
      </c>
      <c r="H32" s="167">
        <v>146</v>
      </c>
      <c r="I32" s="104">
        <f>H32+G32</f>
        <v>248</v>
      </c>
      <c r="J32" s="104">
        <v>103</v>
      </c>
      <c r="K32" s="104">
        <f>116+32</f>
        <v>148</v>
      </c>
      <c r="L32" s="104">
        <f>K32+J32</f>
        <v>251</v>
      </c>
      <c r="M32" s="104">
        <v>0.8</v>
      </c>
      <c r="N32" s="162">
        <v>88</v>
      </c>
      <c r="O32" s="162">
        <v>95</v>
      </c>
      <c r="P32" s="162">
        <f>O32+N32</f>
        <v>183</v>
      </c>
      <c r="Q32" s="163">
        <f>25</f>
        <v>25</v>
      </c>
      <c r="R32" s="163">
        <v>10</v>
      </c>
      <c r="S32" s="166">
        <v>170</v>
      </c>
      <c r="T32" s="178">
        <f>(Q32*N32+R32*O32)*S32/1000</f>
        <v>535.5</v>
      </c>
      <c r="U32" s="179"/>
      <c r="V32" s="179"/>
      <c r="W32" s="180">
        <f>T32</f>
        <v>535.5</v>
      </c>
      <c r="X32" s="180">
        <f>W32</f>
        <v>535.5</v>
      </c>
      <c r="Y32" s="178">
        <v>535.5</v>
      </c>
      <c r="Z32" s="178">
        <v>535.5</v>
      </c>
    </row>
    <row r="33" spans="1:26" s="165" customFormat="1" ht="15.75" customHeight="1" hidden="1">
      <c r="A33" s="161" t="s">
        <v>201</v>
      </c>
      <c r="B33" s="167">
        <v>14</v>
      </c>
      <c r="C33" s="167">
        <v>19</v>
      </c>
      <c r="D33" s="104">
        <f>C33+B33</f>
        <v>33</v>
      </c>
      <c r="E33" s="167">
        <v>29</v>
      </c>
      <c r="F33" s="167"/>
      <c r="G33" s="167">
        <v>14</v>
      </c>
      <c r="H33" s="167">
        <v>19</v>
      </c>
      <c r="I33" s="104">
        <f>H33+G33</f>
        <v>33</v>
      </c>
      <c r="J33" s="104">
        <v>14</v>
      </c>
      <c r="K33" s="104">
        <f>15+4</f>
        <v>19</v>
      </c>
      <c r="L33" s="104">
        <f>K33+J33</f>
        <v>33</v>
      </c>
      <c r="M33" s="104">
        <v>0.8</v>
      </c>
      <c r="N33" s="162">
        <f>J33</f>
        <v>14</v>
      </c>
      <c r="O33" s="162">
        <f>ROUND(K33*M33,0)</f>
        <v>15</v>
      </c>
      <c r="P33" s="162">
        <f>O33+N33</f>
        <v>29</v>
      </c>
      <c r="Q33" s="163">
        <f>25</f>
        <v>25</v>
      </c>
      <c r="R33" s="163">
        <v>10</v>
      </c>
      <c r="S33" s="166">
        <v>170</v>
      </c>
      <c r="T33" s="178">
        <f>(Q33*N33+R33*O33)*S33/1000</f>
        <v>85</v>
      </c>
      <c r="U33" s="179"/>
      <c r="V33" s="179"/>
      <c r="W33" s="180">
        <f>T33</f>
        <v>85</v>
      </c>
      <c r="X33" s="180">
        <f>W33</f>
        <v>85</v>
      </c>
      <c r="Y33" s="178">
        <v>85</v>
      </c>
      <c r="Z33" s="178">
        <v>85</v>
      </c>
    </row>
    <row r="34" spans="1:26" s="165" customFormat="1" ht="15.75" customHeight="1" hidden="1">
      <c r="A34" s="161"/>
      <c r="B34" s="167"/>
      <c r="C34" s="167"/>
      <c r="D34" s="104"/>
      <c r="E34" s="167"/>
      <c r="F34" s="167"/>
      <c r="G34" s="167"/>
      <c r="H34" s="167"/>
      <c r="I34" s="104"/>
      <c r="J34" s="104"/>
      <c r="K34" s="104"/>
      <c r="L34" s="104"/>
      <c r="M34" s="104"/>
      <c r="N34" s="162"/>
      <c r="O34" s="162"/>
      <c r="P34" s="162"/>
      <c r="Q34" s="163"/>
      <c r="R34" s="163"/>
      <c r="S34" s="166"/>
      <c r="T34" s="178"/>
      <c r="U34" s="179"/>
      <c r="V34" s="179"/>
      <c r="W34" s="181"/>
      <c r="X34" s="181"/>
      <c r="Y34" s="178"/>
      <c r="Z34" s="178"/>
    </row>
    <row r="35" spans="1:26" s="165" customFormat="1" ht="15.75" customHeight="1">
      <c r="A35" s="161" t="s">
        <v>117</v>
      </c>
      <c r="B35" s="167">
        <f>B40+B39+B38+B37+B36</f>
        <v>342</v>
      </c>
      <c r="C35" s="167">
        <f>C40+C39+C38+C37+C36</f>
        <v>476</v>
      </c>
      <c r="D35" s="167">
        <f>D40+D39+D38+D37+D36</f>
        <v>818</v>
      </c>
      <c r="E35" s="167">
        <f>E40+E39+E38+E37+E36</f>
        <v>784</v>
      </c>
      <c r="F35" s="167"/>
      <c r="G35" s="167">
        <f aca="true" t="shared" si="14" ref="G35:L35">G40+G39+G38+G37+G36</f>
        <v>342</v>
      </c>
      <c r="H35" s="167">
        <f t="shared" si="14"/>
        <v>476</v>
      </c>
      <c r="I35" s="167">
        <f t="shared" si="14"/>
        <v>818</v>
      </c>
      <c r="J35" s="167">
        <f t="shared" si="14"/>
        <v>300</v>
      </c>
      <c r="K35" s="167">
        <f t="shared" si="14"/>
        <v>434</v>
      </c>
      <c r="L35" s="167">
        <f t="shared" si="14"/>
        <v>734</v>
      </c>
      <c r="M35" s="104">
        <v>0.8</v>
      </c>
      <c r="N35" s="162">
        <f>N36+N37+N38+N39+N40</f>
        <v>214</v>
      </c>
      <c r="O35" s="162">
        <f>O36+O37+O38+O39+O40</f>
        <v>244</v>
      </c>
      <c r="P35" s="162">
        <f>P36+P37+P38+P39+P40</f>
        <v>458</v>
      </c>
      <c r="Q35" s="163">
        <v>25</v>
      </c>
      <c r="R35" s="163">
        <v>10</v>
      </c>
      <c r="S35" s="166">
        <v>170</v>
      </c>
      <c r="T35" s="178">
        <f>T36+T37+T38+T39+T40</f>
        <v>1324.3000000000002</v>
      </c>
      <c r="U35" s="164">
        <f>U36+U37+U38+U39+U40</f>
        <v>0</v>
      </c>
      <c r="V35" s="164">
        <f>V36+V37+V38+V39+V40</f>
        <v>0</v>
      </c>
      <c r="W35" s="164">
        <f>W36+W37+W38+W39+W40</f>
        <v>1324.3000000000002</v>
      </c>
      <c r="X35" s="164">
        <f>X36+X37+X38+X39+X40</f>
        <v>1324.3000000000002</v>
      </c>
      <c r="Y35" s="178">
        <v>1324.3000000000002</v>
      </c>
      <c r="Z35" s="178">
        <v>1324.3000000000002</v>
      </c>
    </row>
    <row r="36" spans="1:26" s="165" customFormat="1" ht="15.75" customHeight="1" hidden="1">
      <c r="A36" s="161" t="s">
        <v>202</v>
      </c>
      <c r="B36" s="167">
        <v>0</v>
      </c>
      <c r="C36" s="167">
        <v>75</v>
      </c>
      <c r="D36" s="104">
        <f>C36+B36</f>
        <v>75</v>
      </c>
      <c r="E36" s="167">
        <v>71</v>
      </c>
      <c r="F36" s="167"/>
      <c r="G36" s="167">
        <v>0</v>
      </c>
      <c r="H36" s="167">
        <v>75</v>
      </c>
      <c r="I36" s="104">
        <f>H36+G36</f>
        <v>75</v>
      </c>
      <c r="J36" s="104">
        <v>0</v>
      </c>
      <c r="K36" s="104">
        <v>70</v>
      </c>
      <c r="L36" s="104">
        <f>K36+J36</f>
        <v>70</v>
      </c>
      <c r="M36" s="104">
        <v>0.8</v>
      </c>
      <c r="N36" s="162">
        <f>J36</f>
        <v>0</v>
      </c>
      <c r="O36" s="162">
        <f>ROUND(K36*M36,0)</f>
        <v>56</v>
      </c>
      <c r="P36" s="162">
        <f>O36+N36</f>
        <v>56</v>
      </c>
      <c r="Q36" s="163">
        <f>25</f>
        <v>25</v>
      </c>
      <c r="R36" s="163">
        <v>10</v>
      </c>
      <c r="S36" s="166">
        <v>170</v>
      </c>
      <c r="T36" s="178">
        <f>(Q36*N36+R36*O36)*S36/1000</f>
        <v>95.2</v>
      </c>
      <c r="U36" s="179"/>
      <c r="V36" s="179"/>
      <c r="W36" s="180">
        <f>T36</f>
        <v>95.2</v>
      </c>
      <c r="X36" s="180">
        <f>W36</f>
        <v>95.2</v>
      </c>
      <c r="Y36" s="178">
        <v>95.2</v>
      </c>
      <c r="Z36" s="178">
        <v>95.2</v>
      </c>
    </row>
    <row r="37" spans="1:26" s="165" customFormat="1" ht="15.75" customHeight="1" hidden="1">
      <c r="A37" s="161" t="s">
        <v>203</v>
      </c>
      <c r="B37" s="167">
        <v>0</v>
      </c>
      <c r="C37" s="167">
        <v>294</v>
      </c>
      <c r="D37" s="104">
        <f>C37+B37</f>
        <v>294</v>
      </c>
      <c r="E37" s="167">
        <v>271</v>
      </c>
      <c r="F37" s="167"/>
      <c r="G37" s="167">
        <v>0</v>
      </c>
      <c r="H37" s="167">
        <v>294</v>
      </c>
      <c r="I37" s="104">
        <f>H37+G37</f>
        <v>294</v>
      </c>
      <c r="J37" s="104">
        <v>0</v>
      </c>
      <c r="K37" s="104">
        <f>286-20</f>
        <v>266</v>
      </c>
      <c r="L37" s="104">
        <f>K37+J37</f>
        <v>266</v>
      </c>
      <c r="M37" s="104">
        <v>0.8</v>
      </c>
      <c r="N37" s="162">
        <f>J37</f>
        <v>0</v>
      </c>
      <c r="O37" s="162">
        <v>110</v>
      </c>
      <c r="P37" s="162">
        <f>O37+N37</f>
        <v>110</v>
      </c>
      <c r="Q37" s="163">
        <f>25</f>
        <v>25</v>
      </c>
      <c r="R37" s="163">
        <v>10</v>
      </c>
      <c r="S37" s="166">
        <v>170</v>
      </c>
      <c r="T37" s="178">
        <f>(Q37*N37+R37*O37)*S37/1000</f>
        <v>187</v>
      </c>
      <c r="U37" s="179"/>
      <c r="V37" s="179"/>
      <c r="W37" s="180">
        <f>T37</f>
        <v>187</v>
      </c>
      <c r="X37" s="180">
        <f>W37</f>
        <v>187</v>
      </c>
      <c r="Y37" s="178">
        <v>187</v>
      </c>
      <c r="Z37" s="178">
        <v>187</v>
      </c>
    </row>
    <row r="38" spans="1:26" s="165" customFormat="1" ht="15.75" customHeight="1" hidden="1">
      <c r="A38" s="161" t="s">
        <v>204</v>
      </c>
      <c r="B38" s="167">
        <v>218</v>
      </c>
      <c r="C38" s="167">
        <v>0</v>
      </c>
      <c r="D38" s="104">
        <f>C38+B38</f>
        <v>218</v>
      </c>
      <c r="E38" s="167">
        <v>222</v>
      </c>
      <c r="F38" s="167"/>
      <c r="G38" s="167">
        <v>218</v>
      </c>
      <c r="H38" s="167">
        <v>0</v>
      </c>
      <c r="I38" s="104">
        <f>H38+G38</f>
        <v>218</v>
      </c>
      <c r="J38" s="104">
        <f>213-18</f>
        <v>195</v>
      </c>
      <c r="K38" s="104">
        <v>0</v>
      </c>
      <c r="L38" s="104">
        <f>K38+J38</f>
        <v>195</v>
      </c>
      <c r="M38" s="104">
        <v>0.8</v>
      </c>
      <c r="N38" s="162">
        <v>136</v>
      </c>
      <c r="O38" s="162">
        <f>ROUND(K38*M38,0)</f>
        <v>0</v>
      </c>
      <c r="P38" s="162">
        <f>O38+N38</f>
        <v>136</v>
      </c>
      <c r="Q38" s="163">
        <f>25</f>
        <v>25</v>
      </c>
      <c r="R38" s="163">
        <v>10</v>
      </c>
      <c r="S38" s="166">
        <v>170</v>
      </c>
      <c r="T38" s="178">
        <f>(Q38*N38+R38*O38)*S38/1000</f>
        <v>578</v>
      </c>
      <c r="U38" s="179"/>
      <c r="V38" s="179"/>
      <c r="W38" s="180">
        <f>T38</f>
        <v>578</v>
      </c>
      <c r="X38" s="180">
        <f>W38</f>
        <v>578</v>
      </c>
      <c r="Y38" s="178">
        <v>578</v>
      </c>
      <c r="Z38" s="178">
        <v>578</v>
      </c>
    </row>
    <row r="39" spans="1:26" s="165" customFormat="1" ht="15.75" customHeight="1" hidden="1">
      <c r="A39" s="161" t="s">
        <v>205</v>
      </c>
      <c r="B39" s="167">
        <v>38</v>
      </c>
      <c r="C39" s="167">
        <v>22</v>
      </c>
      <c r="D39" s="104">
        <f>C39+B39</f>
        <v>60</v>
      </c>
      <c r="E39" s="167">
        <v>61</v>
      </c>
      <c r="F39" s="167"/>
      <c r="G39" s="167">
        <v>38</v>
      </c>
      <c r="H39" s="167">
        <v>22</v>
      </c>
      <c r="I39" s="104">
        <f>H39+G39</f>
        <v>60</v>
      </c>
      <c r="J39" s="104">
        <f>38-3</f>
        <v>35</v>
      </c>
      <c r="K39" s="104">
        <f>62-35-4</f>
        <v>23</v>
      </c>
      <c r="L39" s="104">
        <f>K39+J39</f>
        <v>58</v>
      </c>
      <c r="M39" s="104">
        <v>0.8</v>
      </c>
      <c r="N39" s="162">
        <v>22</v>
      </c>
      <c r="O39" s="162">
        <f>ROUND(K39*M39,0)</f>
        <v>18</v>
      </c>
      <c r="P39" s="162">
        <f>O39+N39</f>
        <v>40</v>
      </c>
      <c r="Q39" s="163">
        <f>25</f>
        <v>25</v>
      </c>
      <c r="R39" s="163">
        <v>10</v>
      </c>
      <c r="S39" s="166">
        <v>170</v>
      </c>
      <c r="T39" s="178">
        <f>(Q39*N39+R39*O39)*S39/1000</f>
        <v>124.1</v>
      </c>
      <c r="U39" s="179"/>
      <c r="V39" s="179"/>
      <c r="W39" s="180">
        <f>T39</f>
        <v>124.1</v>
      </c>
      <c r="X39" s="180">
        <f>W39</f>
        <v>124.1</v>
      </c>
      <c r="Y39" s="178">
        <v>124.1</v>
      </c>
      <c r="Z39" s="178">
        <v>124.1</v>
      </c>
    </row>
    <row r="40" spans="1:26" s="165" customFormat="1" ht="15.75" customHeight="1" hidden="1">
      <c r="A40" s="161" t="s">
        <v>206</v>
      </c>
      <c r="B40" s="167">
        <v>86</v>
      </c>
      <c r="C40" s="167">
        <v>85</v>
      </c>
      <c r="D40" s="104">
        <f>C40+B40</f>
        <v>171</v>
      </c>
      <c r="E40" s="167">
        <v>159</v>
      </c>
      <c r="F40" s="167"/>
      <c r="G40" s="167">
        <v>86</v>
      </c>
      <c r="H40" s="167">
        <v>85</v>
      </c>
      <c r="I40" s="104">
        <f>H40+G40</f>
        <v>171</v>
      </c>
      <c r="J40" s="104">
        <f>77-7</f>
        <v>70</v>
      </c>
      <c r="K40" s="104">
        <f>161-70-16</f>
        <v>75</v>
      </c>
      <c r="L40" s="104">
        <f>K40+J40</f>
        <v>145</v>
      </c>
      <c r="M40" s="104">
        <v>0.8</v>
      </c>
      <c r="N40" s="162">
        <v>56</v>
      </c>
      <c r="O40" s="162">
        <f>ROUND(K40*M40,0)</f>
        <v>60</v>
      </c>
      <c r="P40" s="162">
        <f>O40+N40</f>
        <v>116</v>
      </c>
      <c r="Q40" s="163">
        <f>25</f>
        <v>25</v>
      </c>
      <c r="R40" s="163">
        <v>10</v>
      </c>
      <c r="S40" s="166">
        <v>170</v>
      </c>
      <c r="T40" s="178">
        <f>(Q40*N40+R40*O40)*S40/1000</f>
        <v>340</v>
      </c>
      <c r="U40" s="179"/>
      <c r="V40" s="179"/>
      <c r="W40" s="180">
        <f>T40</f>
        <v>340</v>
      </c>
      <c r="X40" s="180">
        <f>W40</f>
        <v>340</v>
      </c>
      <c r="Y40" s="178">
        <v>340</v>
      </c>
      <c r="Z40" s="178">
        <v>340</v>
      </c>
    </row>
    <row r="41" spans="1:26" s="165" customFormat="1" ht="15.75" customHeight="1" hidden="1">
      <c r="A41" s="161"/>
      <c r="B41" s="167"/>
      <c r="C41" s="167"/>
      <c r="D41" s="104"/>
      <c r="E41" s="167"/>
      <c r="F41" s="167"/>
      <c r="G41" s="167"/>
      <c r="H41" s="167"/>
      <c r="I41" s="104"/>
      <c r="J41" s="104"/>
      <c r="K41" s="104"/>
      <c r="L41" s="104"/>
      <c r="M41" s="104"/>
      <c r="N41" s="162"/>
      <c r="O41" s="162"/>
      <c r="P41" s="162"/>
      <c r="Q41" s="163"/>
      <c r="R41" s="163"/>
      <c r="S41" s="166"/>
      <c r="T41" s="178"/>
      <c r="U41" s="179"/>
      <c r="V41" s="179"/>
      <c r="W41" s="181"/>
      <c r="X41" s="181"/>
      <c r="Y41" s="178"/>
      <c r="Z41" s="178"/>
    </row>
    <row r="42" spans="1:26" s="165" customFormat="1" ht="15.75" customHeight="1">
      <c r="A42" s="161" t="s">
        <v>118</v>
      </c>
      <c r="B42" s="167">
        <f aca="true" t="shared" si="15" ref="B42:H42">B43+B44</f>
        <v>222</v>
      </c>
      <c r="C42" s="167">
        <f t="shared" si="15"/>
        <v>281</v>
      </c>
      <c r="D42" s="167">
        <f t="shared" si="15"/>
        <v>503</v>
      </c>
      <c r="E42" s="167">
        <f t="shared" si="15"/>
        <v>480</v>
      </c>
      <c r="F42" s="167">
        <f t="shared" si="15"/>
        <v>0</v>
      </c>
      <c r="G42" s="167">
        <f t="shared" si="15"/>
        <v>222</v>
      </c>
      <c r="H42" s="167">
        <f t="shared" si="15"/>
        <v>281</v>
      </c>
      <c r="I42" s="104">
        <f>H42+G42</f>
        <v>503</v>
      </c>
      <c r="J42" s="104">
        <f>J43+J44</f>
        <v>219</v>
      </c>
      <c r="K42" s="104">
        <f>K43+K44</f>
        <v>280</v>
      </c>
      <c r="L42" s="104">
        <f>K42+J42</f>
        <v>499</v>
      </c>
      <c r="M42" s="104">
        <v>0.8</v>
      </c>
      <c r="N42" s="162">
        <f>N43+N44</f>
        <v>173</v>
      </c>
      <c r="O42" s="162">
        <f>O43+O44</f>
        <v>159</v>
      </c>
      <c r="P42" s="162">
        <f>P43+P44</f>
        <v>332</v>
      </c>
      <c r="Q42" s="163">
        <v>25</v>
      </c>
      <c r="R42" s="163">
        <v>10</v>
      </c>
      <c r="S42" s="166">
        <v>170</v>
      </c>
      <c r="T42" s="178">
        <f>T43+T44</f>
        <v>1005.55</v>
      </c>
      <c r="U42" s="164">
        <f>U43+U44</f>
        <v>0</v>
      </c>
      <c r="V42" s="164">
        <f>V43+V44</f>
        <v>0</v>
      </c>
      <c r="W42" s="164">
        <f>W43+W44</f>
        <v>1005.55</v>
      </c>
      <c r="X42" s="164">
        <f>X43+X44</f>
        <v>1005.55</v>
      </c>
      <c r="Y42" s="178">
        <v>1005.55</v>
      </c>
      <c r="Z42" s="178">
        <v>1005.55</v>
      </c>
    </row>
    <row r="43" spans="1:26" s="165" customFormat="1" ht="15.75" customHeight="1" hidden="1">
      <c r="A43" s="161" t="s">
        <v>207</v>
      </c>
      <c r="B43" s="167">
        <v>171</v>
      </c>
      <c r="C43" s="167">
        <v>224</v>
      </c>
      <c r="D43" s="104">
        <f>C43+B43</f>
        <v>395</v>
      </c>
      <c r="E43" s="167">
        <f>353+15+11</f>
        <v>379</v>
      </c>
      <c r="F43" s="167">
        <v>0</v>
      </c>
      <c r="G43" s="104">
        <v>171</v>
      </c>
      <c r="H43" s="167">
        <v>224</v>
      </c>
      <c r="I43" s="104">
        <f>H43+G43</f>
        <v>395</v>
      </c>
      <c r="J43" s="104">
        <v>168</v>
      </c>
      <c r="K43" s="104">
        <f>181+42</f>
        <v>223</v>
      </c>
      <c r="L43" s="104">
        <f>K43+J43</f>
        <v>391</v>
      </c>
      <c r="M43" s="104">
        <v>0.8</v>
      </c>
      <c r="N43" s="162">
        <v>122</v>
      </c>
      <c r="O43" s="162">
        <v>113</v>
      </c>
      <c r="P43" s="162">
        <f>O43+N43</f>
        <v>235</v>
      </c>
      <c r="Q43" s="163">
        <f>25</f>
        <v>25</v>
      </c>
      <c r="R43" s="163">
        <v>10</v>
      </c>
      <c r="S43" s="166">
        <v>170</v>
      </c>
      <c r="T43" s="178">
        <f>(Q43*N43+R43*O43)*S43/1000</f>
        <v>710.6</v>
      </c>
      <c r="U43" s="179"/>
      <c r="V43" s="179"/>
      <c r="W43" s="180">
        <f>T43</f>
        <v>710.6</v>
      </c>
      <c r="X43" s="180">
        <f>W43</f>
        <v>710.6</v>
      </c>
      <c r="Y43" s="178">
        <v>710.6</v>
      </c>
      <c r="Z43" s="178">
        <v>710.6</v>
      </c>
    </row>
    <row r="44" spans="1:26" s="165" customFormat="1" ht="15.75" customHeight="1" hidden="1">
      <c r="A44" s="161" t="s">
        <v>150</v>
      </c>
      <c r="B44" s="167">
        <v>51</v>
      </c>
      <c r="C44" s="167">
        <v>57</v>
      </c>
      <c r="D44" s="104">
        <f>C44+B44</f>
        <v>108</v>
      </c>
      <c r="E44" s="167">
        <f>99+2</f>
        <v>101</v>
      </c>
      <c r="F44" s="167">
        <v>0</v>
      </c>
      <c r="G44" s="104">
        <v>51</v>
      </c>
      <c r="H44" s="167">
        <v>57</v>
      </c>
      <c r="I44" s="104">
        <f>H44+G44</f>
        <v>108</v>
      </c>
      <c r="J44" s="104">
        <v>51</v>
      </c>
      <c r="K44" s="104">
        <v>57</v>
      </c>
      <c r="L44" s="104">
        <f>K44+J44</f>
        <v>108</v>
      </c>
      <c r="M44" s="104">
        <v>0.8</v>
      </c>
      <c r="N44" s="162">
        <f>J44</f>
        <v>51</v>
      </c>
      <c r="O44" s="162">
        <f>ROUND(K44*M44,0)</f>
        <v>46</v>
      </c>
      <c r="P44" s="162">
        <f>O44+N44</f>
        <v>97</v>
      </c>
      <c r="Q44" s="163">
        <f>25</f>
        <v>25</v>
      </c>
      <c r="R44" s="163">
        <v>10</v>
      </c>
      <c r="S44" s="166">
        <v>170</v>
      </c>
      <c r="T44" s="178">
        <f>(Q44*N44+R44*O44)*S44/1000</f>
        <v>294.95</v>
      </c>
      <c r="U44" s="179"/>
      <c r="V44" s="179"/>
      <c r="W44" s="180">
        <f>T44</f>
        <v>294.95</v>
      </c>
      <c r="X44" s="180">
        <f>W44</f>
        <v>294.95</v>
      </c>
      <c r="Y44" s="178">
        <v>294.95</v>
      </c>
      <c r="Z44" s="178">
        <v>294.95</v>
      </c>
    </row>
    <row r="45" spans="1:26" s="165" customFormat="1" ht="15.75" customHeight="1" hidden="1">
      <c r="A45" s="161"/>
      <c r="B45" s="167"/>
      <c r="C45" s="167"/>
      <c r="D45" s="104"/>
      <c r="E45" s="167"/>
      <c r="F45" s="167"/>
      <c r="G45" s="104"/>
      <c r="H45" s="167"/>
      <c r="I45" s="104"/>
      <c r="J45" s="104"/>
      <c r="K45" s="104"/>
      <c r="L45" s="104"/>
      <c r="M45" s="104"/>
      <c r="N45" s="162"/>
      <c r="O45" s="162"/>
      <c r="P45" s="162"/>
      <c r="Q45" s="163"/>
      <c r="R45" s="163"/>
      <c r="S45" s="166"/>
      <c r="T45" s="178"/>
      <c r="U45" s="179"/>
      <c r="V45" s="179"/>
      <c r="W45" s="181"/>
      <c r="X45" s="181"/>
      <c r="Y45" s="178"/>
      <c r="Z45" s="178"/>
    </row>
    <row r="46" spans="1:26" s="165" customFormat="1" ht="15.75" customHeight="1">
      <c r="A46" s="161" t="s">
        <v>119</v>
      </c>
      <c r="B46" s="167">
        <v>342</v>
      </c>
      <c r="C46" s="167">
        <v>482</v>
      </c>
      <c r="D46" s="167">
        <f aca="true" t="shared" si="16" ref="D46:D52">C46+B46</f>
        <v>824</v>
      </c>
      <c r="E46" s="167">
        <f>SUM(E47:E52)</f>
        <v>798</v>
      </c>
      <c r="F46" s="167">
        <f>SUM(F47:F52)</f>
        <v>798</v>
      </c>
      <c r="G46" s="104">
        <v>342</v>
      </c>
      <c r="H46" s="167">
        <v>464</v>
      </c>
      <c r="I46" s="104">
        <f>H46+G46</f>
        <v>806</v>
      </c>
      <c r="J46" s="167">
        <f>SUM(J47:J52)</f>
        <v>327</v>
      </c>
      <c r="K46" s="167">
        <f>SUM(K47:K52)</f>
        <v>498</v>
      </c>
      <c r="L46" s="167">
        <f>SUM(L47:L52)</f>
        <v>825</v>
      </c>
      <c r="M46" s="104">
        <v>0.8</v>
      </c>
      <c r="N46" s="162">
        <f>N47+N48+N49+N50+N51+N52</f>
        <v>231</v>
      </c>
      <c r="O46" s="162">
        <f>O47+O48+O49+O50+O51+O52</f>
        <v>357</v>
      </c>
      <c r="P46" s="162">
        <f>P47+P48+P49+P50+P51+P52</f>
        <v>588</v>
      </c>
      <c r="Q46" s="163">
        <v>25</v>
      </c>
      <c r="R46" s="163">
        <v>10</v>
      </c>
      <c r="S46" s="166">
        <v>170</v>
      </c>
      <c r="T46" s="178">
        <f>SUM(T47:T52)</f>
        <v>1588.65</v>
      </c>
      <c r="U46" s="164">
        <f>SUM(U47:U52)</f>
        <v>0</v>
      </c>
      <c r="V46" s="164">
        <f>SUM(V47:V52)</f>
        <v>0</v>
      </c>
      <c r="W46" s="164">
        <f>SUM(W47:W52)</f>
        <v>1588.65</v>
      </c>
      <c r="X46" s="164">
        <f>SUM(X47:X52)</f>
        <v>1588.65</v>
      </c>
      <c r="Y46" s="178">
        <v>1588.65</v>
      </c>
      <c r="Z46" s="178">
        <v>1588.65</v>
      </c>
    </row>
    <row r="47" spans="1:26" s="165" customFormat="1" ht="15.75" customHeight="1" hidden="1">
      <c r="A47" s="161" t="s">
        <v>208</v>
      </c>
      <c r="B47" s="167"/>
      <c r="C47" s="167"/>
      <c r="D47" s="104">
        <f t="shared" si="16"/>
        <v>0</v>
      </c>
      <c r="E47" s="167">
        <f>275+13</f>
        <v>288</v>
      </c>
      <c r="F47" s="167">
        <v>288</v>
      </c>
      <c r="G47" s="104"/>
      <c r="H47" s="167"/>
      <c r="I47" s="104"/>
      <c r="J47" s="167">
        <v>117</v>
      </c>
      <c r="K47" s="167">
        <v>183</v>
      </c>
      <c r="L47" s="104">
        <f aca="true" t="shared" si="17" ref="L47:L52">K47+J47</f>
        <v>300</v>
      </c>
      <c r="M47" s="104">
        <v>0.8</v>
      </c>
      <c r="N47" s="162">
        <v>89</v>
      </c>
      <c r="O47" s="162">
        <v>122</v>
      </c>
      <c r="P47" s="162">
        <f aca="true" t="shared" si="18" ref="P47:P52">O47+N47</f>
        <v>211</v>
      </c>
      <c r="Q47" s="163">
        <f>25</f>
        <v>25</v>
      </c>
      <c r="R47" s="163">
        <v>10</v>
      </c>
      <c r="S47" s="166">
        <v>170</v>
      </c>
      <c r="T47" s="178">
        <f aca="true" t="shared" si="19" ref="T47:T52">(Q47*N47+R47*O47)*S47/1000</f>
        <v>585.65</v>
      </c>
      <c r="U47" s="179"/>
      <c r="V47" s="179"/>
      <c r="W47" s="180">
        <f aca="true" t="shared" si="20" ref="W47:W53">T47</f>
        <v>585.65</v>
      </c>
      <c r="X47" s="180">
        <f aca="true" t="shared" si="21" ref="X47:X60">W47</f>
        <v>585.65</v>
      </c>
      <c r="Y47" s="178">
        <v>585.65</v>
      </c>
      <c r="Z47" s="178">
        <v>585.65</v>
      </c>
    </row>
    <row r="48" spans="1:26" s="165" customFormat="1" ht="15.75" customHeight="1" hidden="1">
      <c r="A48" s="161" t="s">
        <v>209</v>
      </c>
      <c r="B48" s="167"/>
      <c r="C48" s="167"/>
      <c r="D48" s="104">
        <f t="shared" si="16"/>
        <v>0</v>
      </c>
      <c r="E48" s="167">
        <f>240+6</f>
        <v>246</v>
      </c>
      <c r="F48" s="167">
        <v>246</v>
      </c>
      <c r="G48" s="104"/>
      <c r="H48" s="167"/>
      <c r="I48" s="104"/>
      <c r="J48" s="104">
        <v>98</v>
      </c>
      <c r="K48" s="104">
        <v>157</v>
      </c>
      <c r="L48" s="104">
        <f t="shared" si="17"/>
        <v>255</v>
      </c>
      <c r="M48" s="104">
        <v>0.8</v>
      </c>
      <c r="N48" s="162">
        <v>63</v>
      </c>
      <c r="O48" s="162">
        <f>ROUND(K48*M48,0)</f>
        <v>126</v>
      </c>
      <c r="P48" s="162">
        <f t="shared" si="18"/>
        <v>189</v>
      </c>
      <c r="Q48" s="163">
        <f>25</f>
        <v>25</v>
      </c>
      <c r="R48" s="163">
        <v>10</v>
      </c>
      <c r="S48" s="166">
        <v>170</v>
      </c>
      <c r="T48" s="178">
        <f t="shared" si="19"/>
        <v>481.95</v>
      </c>
      <c r="U48" s="179"/>
      <c r="V48" s="179"/>
      <c r="W48" s="180">
        <f t="shared" si="20"/>
        <v>481.95</v>
      </c>
      <c r="X48" s="180">
        <f t="shared" si="21"/>
        <v>481.95</v>
      </c>
      <c r="Y48" s="178">
        <v>481.95</v>
      </c>
      <c r="Z48" s="178">
        <v>481.95</v>
      </c>
    </row>
    <row r="49" spans="1:26" s="165" customFormat="1" ht="15.75" customHeight="1" hidden="1">
      <c r="A49" s="161" t="s">
        <v>210</v>
      </c>
      <c r="B49" s="167"/>
      <c r="C49" s="167"/>
      <c r="D49" s="104">
        <f t="shared" si="16"/>
        <v>0</v>
      </c>
      <c r="E49" s="167">
        <f>202+7</f>
        <v>209</v>
      </c>
      <c r="F49" s="167">
        <v>209</v>
      </c>
      <c r="G49" s="104"/>
      <c r="H49" s="167"/>
      <c r="I49" s="104"/>
      <c r="J49" s="104">
        <v>86</v>
      </c>
      <c r="K49" s="104">
        <v>130</v>
      </c>
      <c r="L49" s="104">
        <f t="shared" si="17"/>
        <v>216</v>
      </c>
      <c r="M49" s="104">
        <v>0.8</v>
      </c>
      <c r="N49" s="162">
        <v>52</v>
      </c>
      <c r="O49" s="162">
        <v>87</v>
      </c>
      <c r="P49" s="162">
        <f t="shared" si="18"/>
        <v>139</v>
      </c>
      <c r="Q49" s="163">
        <f>25</f>
        <v>25</v>
      </c>
      <c r="R49" s="163">
        <v>10</v>
      </c>
      <c r="S49" s="166">
        <v>170</v>
      </c>
      <c r="T49" s="178">
        <f t="shared" si="19"/>
        <v>368.9</v>
      </c>
      <c r="U49" s="179"/>
      <c r="V49" s="179"/>
      <c r="W49" s="180">
        <f t="shared" si="20"/>
        <v>368.9</v>
      </c>
      <c r="X49" s="180">
        <f t="shared" si="21"/>
        <v>368.9</v>
      </c>
      <c r="Y49" s="178">
        <v>368.9</v>
      </c>
      <c r="Z49" s="178">
        <v>368.9</v>
      </c>
    </row>
    <row r="50" spans="1:26" s="165" customFormat="1" ht="15.75" customHeight="1" hidden="1">
      <c r="A50" s="161" t="s">
        <v>151</v>
      </c>
      <c r="B50" s="167"/>
      <c r="C50" s="167"/>
      <c r="D50" s="104">
        <f t="shared" si="16"/>
        <v>0</v>
      </c>
      <c r="E50" s="167">
        <v>42</v>
      </c>
      <c r="F50" s="167">
        <v>42</v>
      </c>
      <c r="G50" s="104"/>
      <c r="H50" s="167"/>
      <c r="I50" s="104"/>
      <c r="J50" s="104">
        <v>18</v>
      </c>
      <c r="K50" s="104">
        <v>25</v>
      </c>
      <c r="L50" s="104">
        <f t="shared" si="17"/>
        <v>43</v>
      </c>
      <c r="M50" s="104">
        <v>0.8</v>
      </c>
      <c r="N50" s="162">
        <f>J50</f>
        <v>18</v>
      </c>
      <c r="O50" s="162">
        <f>ROUND(K50*M50,0)</f>
        <v>20</v>
      </c>
      <c r="P50" s="162">
        <f t="shared" si="18"/>
        <v>38</v>
      </c>
      <c r="Q50" s="163">
        <f>25</f>
        <v>25</v>
      </c>
      <c r="R50" s="163">
        <v>10</v>
      </c>
      <c r="S50" s="166">
        <v>170</v>
      </c>
      <c r="T50" s="178">
        <f t="shared" si="19"/>
        <v>110.5</v>
      </c>
      <c r="U50" s="179"/>
      <c r="V50" s="179"/>
      <c r="W50" s="180">
        <f t="shared" si="20"/>
        <v>110.5</v>
      </c>
      <c r="X50" s="180">
        <f t="shared" si="21"/>
        <v>110.5</v>
      </c>
      <c r="Y50" s="178">
        <v>110.5</v>
      </c>
      <c r="Z50" s="178">
        <v>110.5</v>
      </c>
    </row>
    <row r="51" spans="1:26" s="165" customFormat="1" ht="15.75" customHeight="1" hidden="1">
      <c r="A51" s="161" t="s">
        <v>211</v>
      </c>
      <c r="B51" s="167"/>
      <c r="C51" s="167"/>
      <c r="D51" s="104">
        <f t="shared" si="16"/>
        <v>0</v>
      </c>
      <c r="E51" s="167">
        <v>11</v>
      </c>
      <c r="F51" s="167">
        <v>11</v>
      </c>
      <c r="G51" s="104"/>
      <c r="H51" s="167"/>
      <c r="I51" s="104"/>
      <c r="J51" s="104">
        <v>5</v>
      </c>
      <c r="K51" s="104">
        <v>3</v>
      </c>
      <c r="L51" s="104">
        <f t="shared" si="17"/>
        <v>8</v>
      </c>
      <c r="M51" s="104">
        <v>0.8</v>
      </c>
      <c r="N51" s="162">
        <v>6</v>
      </c>
      <c r="O51" s="162">
        <v>2</v>
      </c>
      <c r="P51" s="162">
        <f t="shared" si="18"/>
        <v>8</v>
      </c>
      <c r="Q51" s="163">
        <f>25</f>
        <v>25</v>
      </c>
      <c r="R51" s="163">
        <v>10</v>
      </c>
      <c r="S51" s="166">
        <v>170</v>
      </c>
      <c r="T51" s="178">
        <f t="shared" si="19"/>
        <v>28.9</v>
      </c>
      <c r="U51" s="179"/>
      <c r="V51" s="179"/>
      <c r="W51" s="180">
        <f t="shared" si="20"/>
        <v>28.9</v>
      </c>
      <c r="X51" s="180">
        <f t="shared" si="21"/>
        <v>28.9</v>
      </c>
      <c r="Y51" s="178">
        <v>28.9</v>
      </c>
      <c r="Z51" s="178">
        <v>28.9</v>
      </c>
    </row>
    <row r="52" spans="1:26" s="165" customFormat="1" ht="15.75" customHeight="1" hidden="1">
      <c r="A52" s="161" t="s">
        <v>212</v>
      </c>
      <c r="B52" s="167"/>
      <c r="C52" s="167"/>
      <c r="D52" s="104">
        <f t="shared" si="16"/>
        <v>0</v>
      </c>
      <c r="E52" s="167">
        <v>2</v>
      </c>
      <c r="F52" s="167">
        <v>2</v>
      </c>
      <c r="G52" s="104"/>
      <c r="H52" s="167"/>
      <c r="I52" s="104"/>
      <c r="J52" s="104">
        <v>3</v>
      </c>
      <c r="K52" s="104">
        <v>0</v>
      </c>
      <c r="L52" s="104">
        <f t="shared" si="17"/>
        <v>3</v>
      </c>
      <c r="M52" s="104">
        <v>0.8</v>
      </c>
      <c r="N52" s="162">
        <f>J52</f>
        <v>3</v>
      </c>
      <c r="O52" s="162">
        <f>ROUND(K52*M52,0)</f>
        <v>0</v>
      </c>
      <c r="P52" s="162">
        <f t="shared" si="18"/>
        <v>3</v>
      </c>
      <c r="Q52" s="163">
        <f>25</f>
        <v>25</v>
      </c>
      <c r="R52" s="163">
        <v>10</v>
      </c>
      <c r="S52" s="166">
        <v>170</v>
      </c>
      <c r="T52" s="178">
        <f t="shared" si="19"/>
        <v>12.75</v>
      </c>
      <c r="U52" s="179"/>
      <c r="V52" s="179"/>
      <c r="W52" s="180">
        <f t="shared" si="20"/>
        <v>12.75</v>
      </c>
      <c r="X52" s="180">
        <f t="shared" si="21"/>
        <v>12.75</v>
      </c>
      <c r="Y52" s="178">
        <v>12.75</v>
      </c>
      <c r="Z52" s="178">
        <v>12.75</v>
      </c>
    </row>
    <row r="53" spans="1:26" s="165" customFormat="1" ht="15.75" customHeight="1" hidden="1">
      <c r="A53" s="161"/>
      <c r="B53" s="167"/>
      <c r="C53" s="167"/>
      <c r="D53" s="104"/>
      <c r="E53" s="167"/>
      <c r="F53" s="167"/>
      <c r="G53" s="104"/>
      <c r="H53" s="167"/>
      <c r="I53" s="104"/>
      <c r="J53" s="104"/>
      <c r="K53" s="104"/>
      <c r="L53" s="104"/>
      <c r="M53" s="104"/>
      <c r="N53" s="162"/>
      <c r="O53" s="162"/>
      <c r="P53" s="162"/>
      <c r="Q53" s="163"/>
      <c r="R53" s="163"/>
      <c r="S53" s="166"/>
      <c r="T53" s="178"/>
      <c r="U53" s="179"/>
      <c r="V53" s="179"/>
      <c r="W53" s="180">
        <f t="shared" si="20"/>
        <v>0</v>
      </c>
      <c r="X53" s="180">
        <f t="shared" si="21"/>
        <v>0</v>
      </c>
      <c r="Y53" s="178"/>
      <c r="Z53" s="178"/>
    </row>
    <row r="54" spans="1:26" s="165" customFormat="1" ht="15.75" customHeight="1">
      <c r="A54" s="161" t="s">
        <v>120</v>
      </c>
      <c r="B54" s="167">
        <f>SUM(B55:B60)</f>
        <v>0</v>
      </c>
      <c r="C54" s="167">
        <f>SUM(C55:C60)</f>
        <v>0</v>
      </c>
      <c r="D54" s="167">
        <f>SUM(D55:D60)</f>
        <v>0</v>
      </c>
      <c r="E54" s="167">
        <f>SUM(E55:E60)</f>
        <v>1044</v>
      </c>
      <c r="F54" s="167">
        <v>1075</v>
      </c>
      <c r="G54" s="104"/>
      <c r="H54" s="167"/>
      <c r="I54" s="104"/>
      <c r="J54" s="167">
        <f>SUM(J55:J60)</f>
        <v>426</v>
      </c>
      <c r="K54" s="167">
        <f>SUM(K55:K60)</f>
        <v>634</v>
      </c>
      <c r="L54" s="167">
        <f>SUM(L55:L60)</f>
        <v>1060</v>
      </c>
      <c r="M54" s="104">
        <v>0.8</v>
      </c>
      <c r="N54" s="162">
        <f>SUM(N55:N60)</f>
        <v>265</v>
      </c>
      <c r="O54" s="162">
        <f>SUM(O55:O60)</f>
        <v>288</v>
      </c>
      <c r="P54" s="162">
        <f>SUM(P55:P60)</f>
        <v>553</v>
      </c>
      <c r="Q54" s="163">
        <v>25</v>
      </c>
      <c r="R54" s="163">
        <v>10</v>
      </c>
      <c r="S54" s="166">
        <v>170</v>
      </c>
      <c r="T54" s="178">
        <f>SUM(T55:T60)</f>
        <v>1615.85</v>
      </c>
      <c r="U54" s="164">
        <f>SUM(U55:U60)</f>
        <v>0</v>
      </c>
      <c r="V54" s="164">
        <f>SUM(V55:V60)</f>
        <v>0</v>
      </c>
      <c r="W54" s="164">
        <f>SUM(W55:W60)</f>
        <v>1615.85</v>
      </c>
      <c r="X54" s="164">
        <f>SUM(X55:X60)</f>
        <v>1615.85</v>
      </c>
      <c r="Y54" s="178">
        <v>1615.85</v>
      </c>
      <c r="Z54" s="178">
        <v>1615.85</v>
      </c>
    </row>
    <row r="55" spans="1:26" s="165" customFormat="1" ht="15.75" customHeight="1" hidden="1">
      <c r="A55" s="161" t="s">
        <v>213</v>
      </c>
      <c r="B55" s="167"/>
      <c r="C55" s="167"/>
      <c r="D55" s="104"/>
      <c r="E55" s="167">
        <f>321+8</f>
        <v>329</v>
      </c>
      <c r="F55" s="167"/>
      <c r="G55" s="104"/>
      <c r="H55" s="167"/>
      <c r="I55" s="104">
        <f aca="true" t="shared" si="22" ref="I55:I60">H55+G55</f>
        <v>0</v>
      </c>
      <c r="J55" s="104">
        <v>0</v>
      </c>
      <c r="K55" s="104">
        <v>336</v>
      </c>
      <c r="L55" s="104">
        <f aca="true" t="shared" si="23" ref="L55:L60">K55+J55</f>
        <v>336</v>
      </c>
      <c r="M55" s="104">
        <v>0.8</v>
      </c>
      <c r="N55" s="162">
        <f>J55</f>
        <v>0</v>
      </c>
      <c r="O55" s="162">
        <v>132</v>
      </c>
      <c r="P55" s="162">
        <f aca="true" t="shared" si="24" ref="P55:P60">O55+N55</f>
        <v>132</v>
      </c>
      <c r="Q55" s="163">
        <f>25</f>
        <v>25</v>
      </c>
      <c r="R55" s="163">
        <v>10</v>
      </c>
      <c r="S55" s="168">
        <v>170</v>
      </c>
      <c r="T55" s="178">
        <f aca="true" t="shared" si="25" ref="T55:T60">(Q55*N55+R55*O55)*S55/1000</f>
        <v>224.4</v>
      </c>
      <c r="U55" s="179"/>
      <c r="V55" s="179"/>
      <c r="W55" s="180">
        <f aca="true" t="shared" si="26" ref="W55:W60">T55</f>
        <v>224.4</v>
      </c>
      <c r="X55" s="180">
        <f t="shared" si="21"/>
        <v>224.4</v>
      </c>
      <c r="Y55" s="178">
        <v>224.4</v>
      </c>
      <c r="Z55" s="178"/>
    </row>
    <row r="56" spans="1:26" s="165" customFormat="1" ht="15.75" customHeight="1" hidden="1">
      <c r="A56" s="161" t="s">
        <v>214</v>
      </c>
      <c r="B56" s="167"/>
      <c r="C56" s="167"/>
      <c r="D56" s="104"/>
      <c r="E56" s="167">
        <v>199</v>
      </c>
      <c r="F56" s="167"/>
      <c r="G56" s="104"/>
      <c r="H56" s="167"/>
      <c r="I56" s="104">
        <f t="shared" si="22"/>
        <v>0</v>
      </c>
      <c r="J56" s="104">
        <v>194</v>
      </c>
      <c r="K56" s="104">
        <v>0</v>
      </c>
      <c r="L56" s="104">
        <f t="shared" si="23"/>
        <v>194</v>
      </c>
      <c r="M56" s="104">
        <v>0.8</v>
      </c>
      <c r="N56" s="162">
        <v>105</v>
      </c>
      <c r="O56" s="162">
        <f>ROUND(K56*M56,0)</f>
        <v>0</v>
      </c>
      <c r="P56" s="162">
        <f t="shared" si="24"/>
        <v>105</v>
      </c>
      <c r="Q56" s="163">
        <f>25</f>
        <v>25</v>
      </c>
      <c r="R56" s="163">
        <v>10</v>
      </c>
      <c r="S56" s="168">
        <v>170</v>
      </c>
      <c r="T56" s="178">
        <f t="shared" si="25"/>
        <v>446.25</v>
      </c>
      <c r="U56" s="179"/>
      <c r="V56" s="179"/>
      <c r="W56" s="180">
        <f t="shared" si="26"/>
        <v>446.25</v>
      </c>
      <c r="X56" s="180">
        <f t="shared" si="21"/>
        <v>446.25</v>
      </c>
      <c r="Y56" s="178">
        <v>446.25</v>
      </c>
      <c r="Z56" s="178"/>
    </row>
    <row r="57" spans="1:26" s="165" customFormat="1" ht="15.75" customHeight="1" hidden="1">
      <c r="A57" s="161" t="s">
        <v>215</v>
      </c>
      <c r="B57" s="167"/>
      <c r="C57" s="167"/>
      <c r="D57" s="104"/>
      <c r="E57" s="167">
        <f>270</f>
        <v>270</v>
      </c>
      <c r="F57" s="167"/>
      <c r="G57" s="104"/>
      <c r="H57" s="167"/>
      <c r="I57" s="104">
        <f t="shared" si="22"/>
        <v>0</v>
      </c>
      <c r="J57" s="104">
        <v>120</v>
      </c>
      <c r="K57" s="104">
        <v>155</v>
      </c>
      <c r="L57" s="104">
        <f t="shared" si="23"/>
        <v>275</v>
      </c>
      <c r="M57" s="104">
        <v>0.8</v>
      </c>
      <c r="N57" s="162">
        <v>68</v>
      </c>
      <c r="O57" s="162">
        <v>77</v>
      </c>
      <c r="P57" s="162">
        <f t="shared" si="24"/>
        <v>145</v>
      </c>
      <c r="Q57" s="163">
        <f>25</f>
        <v>25</v>
      </c>
      <c r="R57" s="163">
        <v>10</v>
      </c>
      <c r="S57" s="168">
        <v>170</v>
      </c>
      <c r="T57" s="178">
        <f t="shared" si="25"/>
        <v>419.9</v>
      </c>
      <c r="U57" s="179"/>
      <c r="V57" s="179"/>
      <c r="W57" s="180">
        <f t="shared" si="26"/>
        <v>419.9</v>
      </c>
      <c r="X57" s="180">
        <f t="shared" si="21"/>
        <v>419.9</v>
      </c>
      <c r="Y57" s="178">
        <v>419.9</v>
      </c>
      <c r="Z57" s="178"/>
    </row>
    <row r="58" spans="1:26" s="165" customFormat="1" ht="15.75" customHeight="1" hidden="1">
      <c r="A58" s="161" t="s">
        <v>216</v>
      </c>
      <c r="B58" s="167"/>
      <c r="C58" s="167"/>
      <c r="D58" s="104"/>
      <c r="E58" s="167">
        <f>174+7</f>
        <v>181</v>
      </c>
      <c r="F58" s="167"/>
      <c r="G58" s="104"/>
      <c r="H58" s="167"/>
      <c r="I58" s="104">
        <f t="shared" si="22"/>
        <v>0</v>
      </c>
      <c r="J58" s="104">
        <v>70</v>
      </c>
      <c r="K58" s="104">
        <v>116</v>
      </c>
      <c r="L58" s="104">
        <f t="shared" si="23"/>
        <v>186</v>
      </c>
      <c r="M58" s="104">
        <v>0.8</v>
      </c>
      <c r="N58" s="162">
        <v>53</v>
      </c>
      <c r="O58" s="162">
        <v>64</v>
      </c>
      <c r="P58" s="162">
        <f t="shared" si="24"/>
        <v>117</v>
      </c>
      <c r="Q58" s="163">
        <f>25</f>
        <v>25</v>
      </c>
      <c r="R58" s="163">
        <v>10</v>
      </c>
      <c r="S58" s="168">
        <v>170</v>
      </c>
      <c r="T58" s="178">
        <f t="shared" si="25"/>
        <v>334.05</v>
      </c>
      <c r="U58" s="179"/>
      <c r="V58" s="179"/>
      <c r="W58" s="180">
        <f t="shared" si="26"/>
        <v>334.05</v>
      </c>
      <c r="X58" s="180">
        <f t="shared" si="21"/>
        <v>334.05</v>
      </c>
      <c r="Y58" s="178">
        <v>334.05</v>
      </c>
      <c r="Z58" s="178"/>
    </row>
    <row r="59" spans="1:26" s="165" customFormat="1" ht="15.75" customHeight="1" hidden="1">
      <c r="A59" s="161" t="s">
        <v>152</v>
      </c>
      <c r="B59" s="167"/>
      <c r="C59" s="167"/>
      <c r="D59" s="104"/>
      <c r="E59" s="167">
        <v>61</v>
      </c>
      <c r="F59" s="167"/>
      <c r="G59" s="104"/>
      <c r="H59" s="167"/>
      <c r="I59" s="104">
        <f t="shared" si="22"/>
        <v>0</v>
      </c>
      <c r="J59" s="104">
        <v>38</v>
      </c>
      <c r="K59" s="104">
        <v>27</v>
      </c>
      <c r="L59" s="104">
        <f t="shared" si="23"/>
        <v>65</v>
      </c>
      <c r="M59" s="104">
        <v>0.8</v>
      </c>
      <c r="N59" s="162">
        <v>35</v>
      </c>
      <c r="O59" s="162">
        <v>15</v>
      </c>
      <c r="P59" s="162">
        <f t="shared" si="24"/>
        <v>50</v>
      </c>
      <c r="Q59" s="163">
        <f>25</f>
        <v>25</v>
      </c>
      <c r="R59" s="163">
        <v>10</v>
      </c>
      <c r="S59" s="168">
        <v>170</v>
      </c>
      <c r="T59" s="178">
        <f t="shared" si="25"/>
        <v>174.25</v>
      </c>
      <c r="U59" s="179"/>
      <c r="V59" s="179"/>
      <c r="W59" s="180">
        <f t="shared" si="26"/>
        <v>174.25</v>
      </c>
      <c r="X59" s="180">
        <f t="shared" si="21"/>
        <v>174.25</v>
      </c>
      <c r="Y59" s="178">
        <v>174.25</v>
      </c>
      <c r="Z59" s="178"/>
    </row>
    <row r="60" spans="1:26" s="165" customFormat="1" ht="15.75" customHeight="1" hidden="1">
      <c r="A60" s="161" t="s">
        <v>217</v>
      </c>
      <c r="B60" s="167"/>
      <c r="C60" s="167"/>
      <c r="D60" s="104"/>
      <c r="E60" s="167">
        <v>4</v>
      </c>
      <c r="F60" s="167"/>
      <c r="G60" s="104"/>
      <c r="H60" s="167"/>
      <c r="I60" s="104">
        <f t="shared" si="22"/>
        <v>0</v>
      </c>
      <c r="J60" s="104">
        <v>4</v>
      </c>
      <c r="K60" s="104">
        <v>0</v>
      </c>
      <c r="L60" s="104">
        <f t="shared" si="23"/>
        <v>4</v>
      </c>
      <c r="M60" s="104">
        <v>0.8</v>
      </c>
      <c r="N60" s="162">
        <f>J60</f>
        <v>4</v>
      </c>
      <c r="O60" s="162">
        <f>ROUND(K60*M60,0)</f>
        <v>0</v>
      </c>
      <c r="P60" s="162">
        <f t="shared" si="24"/>
        <v>4</v>
      </c>
      <c r="Q60" s="163">
        <f>25</f>
        <v>25</v>
      </c>
      <c r="R60" s="163">
        <v>10</v>
      </c>
      <c r="S60" s="168">
        <v>170</v>
      </c>
      <c r="T60" s="178">
        <f t="shared" si="25"/>
        <v>17</v>
      </c>
      <c r="U60" s="179"/>
      <c r="V60" s="179"/>
      <c r="W60" s="180">
        <f t="shared" si="26"/>
        <v>17</v>
      </c>
      <c r="X60" s="180">
        <f t="shared" si="21"/>
        <v>17</v>
      </c>
      <c r="Y60" s="178">
        <v>17</v>
      </c>
      <c r="Z60" s="178"/>
    </row>
    <row r="61" spans="1:26" s="165" customFormat="1" ht="15.75" customHeight="1" hidden="1">
      <c r="A61" s="169"/>
      <c r="B61" s="167"/>
      <c r="C61" s="167"/>
      <c r="D61" s="104"/>
      <c r="E61" s="167"/>
      <c r="F61" s="167"/>
      <c r="G61" s="167"/>
      <c r="H61" s="167"/>
      <c r="I61" s="104"/>
      <c r="J61" s="104"/>
      <c r="K61" s="104"/>
      <c r="L61" s="104"/>
      <c r="M61" s="104"/>
      <c r="N61" s="162"/>
      <c r="O61" s="162"/>
      <c r="P61" s="162"/>
      <c r="Q61" s="170"/>
      <c r="R61" s="170"/>
      <c r="S61" s="170"/>
      <c r="T61" s="178"/>
      <c r="U61" s="179"/>
      <c r="V61" s="179"/>
      <c r="W61" s="181"/>
      <c r="X61" s="181"/>
      <c r="Y61" s="178"/>
      <c r="Z61" s="178"/>
    </row>
    <row r="62" spans="1:26" s="175" customFormat="1" ht="21" customHeight="1">
      <c r="A62" s="171" t="s">
        <v>15</v>
      </c>
      <c r="B62" s="172"/>
      <c r="C62" s="172"/>
      <c r="D62" s="172"/>
      <c r="E62" s="172" t="e">
        <f>E54+E46+E42+E35+E31+E24+E19+E8+E7</f>
        <v>#REF!</v>
      </c>
      <c r="F62" s="172"/>
      <c r="G62" s="172" t="e">
        <f aca="true" t="shared" si="27" ref="G62:L62">G54+G46+G42+G35+G31+G24+G19+G8+G7</f>
        <v>#REF!</v>
      </c>
      <c r="H62" s="172" t="e">
        <f t="shared" si="27"/>
        <v>#REF!</v>
      </c>
      <c r="I62" s="172" t="e">
        <f t="shared" si="27"/>
        <v>#REF!</v>
      </c>
      <c r="J62" s="172" t="e">
        <f t="shared" si="27"/>
        <v>#REF!</v>
      </c>
      <c r="K62" s="172" t="e">
        <f t="shared" si="27"/>
        <v>#REF!</v>
      </c>
      <c r="L62" s="172" t="e">
        <f t="shared" si="27"/>
        <v>#REF!</v>
      </c>
      <c r="M62" s="172"/>
      <c r="N62" s="173">
        <f>N54+N46+N42+N35+N31+N24+N19+N8+N7</f>
        <v>4999</v>
      </c>
      <c r="O62" s="173">
        <f>O54+O46+O42+O35+O31+O24+O19+O8+O7</f>
        <v>4953</v>
      </c>
      <c r="P62" s="173">
        <f>P54+P46+P42+P35+P31+P24+P19+P8+P7</f>
        <v>9952</v>
      </c>
      <c r="Q62" s="174"/>
      <c r="R62" s="174"/>
      <c r="S62" s="174"/>
      <c r="T62" s="182">
        <v>29665.9</v>
      </c>
      <c r="U62" s="179" t="e">
        <f>U54+U46+U42+U35+U31+U24+U19+U8+U7</f>
        <v>#REF!</v>
      </c>
      <c r="V62" s="179" t="e">
        <f>V54+V46+V42+V35+V31+V24+V19+V8+V7</f>
        <v>#REF!</v>
      </c>
      <c r="W62" s="179" t="e">
        <f>W54+W46+W42+W35+W31+W24+W19+W8+W7</f>
        <v>#REF!</v>
      </c>
      <c r="X62" s="179" t="e">
        <f>X54+X46+X42+X35+X31+X24+X19+X8+X7</f>
        <v>#REF!</v>
      </c>
      <c r="Y62" s="182">
        <v>29665.9</v>
      </c>
      <c r="Z62" s="182">
        <v>29665.9</v>
      </c>
    </row>
    <row r="63" s="165" customFormat="1" ht="15.75">
      <c r="A63" s="176"/>
    </row>
    <row r="64" s="165" customFormat="1" ht="15.75">
      <c r="A64" s="177" t="s">
        <v>303</v>
      </c>
    </row>
    <row r="65" s="165" customFormat="1" ht="15.75">
      <c r="A65" s="176"/>
    </row>
    <row r="68" ht="15.75"/>
    <row r="69" ht="15.75"/>
    <row r="70" ht="15.75"/>
  </sheetData>
  <sheetProtection/>
  <mergeCells count="18">
    <mergeCell ref="Y5:Y6"/>
    <mergeCell ref="Z5:Z6"/>
    <mergeCell ref="A1:Z1"/>
    <mergeCell ref="A2:Z2"/>
    <mergeCell ref="V5:V6"/>
    <mergeCell ref="B5:D5"/>
    <mergeCell ref="E5:E6"/>
    <mergeCell ref="G5:I5"/>
    <mergeCell ref="J5:L5"/>
    <mergeCell ref="A5:A6"/>
    <mergeCell ref="W5:W6"/>
    <mergeCell ref="X5:X6"/>
    <mergeCell ref="A3:T3"/>
    <mergeCell ref="N5:P5"/>
    <mergeCell ref="Q5:R5"/>
    <mergeCell ref="S5:S6"/>
    <mergeCell ref="T5:T6"/>
    <mergeCell ref="U5:U6"/>
  </mergeCells>
  <printOptions horizontalCentered="1"/>
  <pageMargins left="0.2362204724409449" right="0.1968503937007874" top="0.7480314960629921" bottom="0.7480314960629921" header="0.31496062992125984" footer="0.31496062992125984"/>
  <pageSetup fitToHeight="1" fitToWidth="1" horizontalDpi="600" verticalDpi="600" orientation="landscape" paperSize="9" scale="8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6.25390625" style="183" customWidth="1"/>
    <col min="2" max="2" width="21.25390625" style="183" customWidth="1"/>
    <col min="3" max="3" width="19.375" style="183" customWidth="1"/>
    <col min="4" max="4" width="20.75390625" style="183" customWidth="1"/>
    <col min="5" max="5" width="20.875" style="183" customWidth="1"/>
    <col min="6" max="6" width="20.375" style="183" customWidth="1"/>
    <col min="7" max="7" width="20.125" style="183" customWidth="1"/>
    <col min="8" max="8" width="13.375" style="183" hidden="1" customWidth="1"/>
    <col min="9" max="9" width="13.25390625" style="183" hidden="1" customWidth="1"/>
    <col min="10" max="11" width="20.125" style="183" customWidth="1"/>
    <col min="12" max="16384" width="9.125" style="183" customWidth="1"/>
  </cols>
  <sheetData>
    <row r="1" spans="1:11" ht="25.5" customHeight="1">
      <c r="A1" s="557" t="s">
        <v>107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</row>
    <row r="2" spans="1:11" ht="39.75" customHeight="1">
      <c r="A2" s="524" t="s">
        <v>317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</row>
    <row r="3" spans="1:11" ht="1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ht="15.75">
      <c r="K4" s="185" t="s">
        <v>30</v>
      </c>
    </row>
    <row r="5" spans="1:11" s="187" customFormat="1" ht="124.5" customHeight="1">
      <c r="A5" s="186" t="s">
        <v>308</v>
      </c>
      <c r="B5" s="186" t="s">
        <v>309</v>
      </c>
      <c r="C5" s="186" t="s">
        <v>310</v>
      </c>
      <c r="D5" s="159" t="s">
        <v>311</v>
      </c>
      <c r="E5" s="159" t="s">
        <v>312</v>
      </c>
      <c r="F5" s="159" t="s">
        <v>313</v>
      </c>
      <c r="G5" s="159" t="s">
        <v>318</v>
      </c>
      <c r="H5" s="159" t="s">
        <v>314</v>
      </c>
      <c r="I5" s="159" t="s">
        <v>315</v>
      </c>
      <c r="J5" s="159" t="s">
        <v>319</v>
      </c>
      <c r="K5" s="159" t="s">
        <v>335</v>
      </c>
    </row>
    <row r="6" spans="1:11" s="187" customFormat="1" ht="16.5" customHeight="1">
      <c r="A6" s="186">
        <v>1</v>
      </c>
      <c r="B6" s="186">
        <v>2</v>
      </c>
      <c r="C6" s="186">
        <v>3</v>
      </c>
      <c r="D6" s="159">
        <v>4</v>
      </c>
      <c r="E6" s="159">
        <v>5</v>
      </c>
      <c r="F6" s="159">
        <v>6</v>
      </c>
      <c r="G6" s="159">
        <v>7</v>
      </c>
      <c r="H6" s="188">
        <v>6</v>
      </c>
      <c r="I6" s="188">
        <v>7</v>
      </c>
      <c r="J6" s="159">
        <v>8</v>
      </c>
      <c r="K6" s="159">
        <v>9</v>
      </c>
    </row>
    <row r="7" spans="1:11" ht="15.75">
      <c r="A7" s="89" t="s">
        <v>10</v>
      </c>
      <c r="B7" s="182">
        <v>7112.5</v>
      </c>
      <c r="C7" s="182">
        <f>192.8+3856.1</f>
        <v>4048.9</v>
      </c>
      <c r="D7" s="182">
        <v>192.8</v>
      </c>
      <c r="E7" s="182">
        <v>7468.1</v>
      </c>
      <c r="F7" s="182">
        <v>355.6</v>
      </c>
      <c r="G7" s="182">
        <f>(B7*(C7-D7))/(E7-F7)</f>
        <v>3856.1</v>
      </c>
      <c r="H7" s="190">
        <f aca="true" t="shared" si="0" ref="H7:H15">E7</f>
        <v>7468.1</v>
      </c>
      <c r="I7" s="190">
        <f>H7</f>
        <v>7468.1</v>
      </c>
      <c r="J7" s="182">
        <v>3856.1</v>
      </c>
      <c r="K7" s="182">
        <v>3856.1</v>
      </c>
    </row>
    <row r="8" spans="1:11" ht="15.75">
      <c r="A8" s="89" t="s">
        <v>113</v>
      </c>
      <c r="B8" s="182">
        <v>7112.5</v>
      </c>
      <c r="C8" s="182">
        <f>30.2+604</f>
        <v>634.2</v>
      </c>
      <c r="D8" s="182">
        <v>30.2</v>
      </c>
      <c r="E8" s="182">
        <v>7468.1</v>
      </c>
      <c r="F8" s="182">
        <v>355.6</v>
      </c>
      <c r="G8" s="182">
        <f aca="true" t="shared" si="1" ref="G8:G15">(B8*(C8-D8))/(E8-F8)</f>
        <v>604</v>
      </c>
      <c r="H8" s="190">
        <f t="shared" si="0"/>
        <v>7468.1</v>
      </c>
      <c r="I8" s="190">
        <f aca="true" t="shared" si="2" ref="I8:I15">H8</f>
        <v>7468.1</v>
      </c>
      <c r="J8" s="182">
        <v>604</v>
      </c>
      <c r="K8" s="182">
        <v>604</v>
      </c>
    </row>
    <row r="9" spans="1:11" ht="15.75">
      <c r="A9" s="89" t="s">
        <v>109</v>
      </c>
      <c r="B9" s="182">
        <v>7112.5</v>
      </c>
      <c r="C9" s="182">
        <f>24.4+488.7</f>
        <v>513.1</v>
      </c>
      <c r="D9" s="182">
        <v>24.4</v>
      </c>
      <c r="E9" s="182">
        <v>7468.1</v>
      </c>
      <c r="F9" s="182">
        <v>355.6</v>
      </c>
      <c r="G9" s="182">
        <f t="shared" si="1"/>
        <v>488.70000000000005</v>
      </c>
      <c r="H9" s="190">
        <f t="shared" si="0"/>
        <v>7468.1</v>
      </c>
      <c r="I9" s="190">
        <f t="shared" si="2"/>
        <v>7468.1</v>
      </c>
      <c r="J9" s="182">
        <v>488.70000000000005</v>
      </c>
      <c r="K9" s="182">
        <v>488.70000000000005</v>
      </c>
    </row>
    <row r="10" spans="1:11" ht="15.75">
      <c r="A10" s="89" t="s">
        <v>116</v>
      </c>
      <c r="B10" s="182">
        <v>7112.5</v>
      </c>
      <c r="C10" s="182">
        <f>26.3+525</f>
        <v>551.3</v>
      </c>
      <c r="D10" s="182">
        <v>26.3</v>
      </c>
      <c r="E10" s="182">
        <v>7468.1</v>
      </c>
      <c r="F10" s="182">
        <v>355.6</v>
      </c>
      <c r="G10" s="182">
        <f t="shared" si="1"/>
        <v>525</v>
      </c>
      <c r="H10" s="190">
        <f t="shared" si="0"/>
        <v>7468.1</v>
      </c>
      <c r="I10" s="190">
        <f t="shared" si="2"/>
        <v>7468.1</v>
      </c>
      <c r="J10" s="182">
        <v>525</v>
      </c>
      <c r="K10" s="182">
        <v>525</v>
      </c>
    </row>
    <row r="11" spans="1:11" ht="15.75">
      <c r="A11" s="89" t="s">
        <v>112</v>
      </c>
      <c r="B11" s="182">
        <v>7112.5</v>
      </c>
      <c r="C11" s="182">
        <f>7.7+153.7</f>
        <v>161.39999999999998</v>
      </c>
      <c r="D11" s="182">
        <v>7.7</v>
      </c>
      <c r="E11" s="182">
        <v>7468.1</v>
      </c>
      <c r="F11" s="182">
        <v>355.6</v>
      </c>
      <c r="G11" s="182">
        <f t="shared" si="1"/>
        <v>153.7</v>
      </c>
      <c r="H11" s="190">
        <f t="shared" si="0"/>
        <v>7468.1</v>
      </c>
      <c r="I11" s="190">
        <f t="shared" si="2"/>
        <v>7468.1</v>
      </c>
      <c r="J11" s="182">
        <v>153.7</v>
      </c>
      <c r="K11" s="182">
        <v>153.7</v>
      </c>
    </row>
    <row r="12" spans="1:11" ht="15.75">
      <c r="A12" s="89" t="s">
        <v>117</v>
      </c>
      <c r="B12" s="182">
        <v>7112.5</v>
      </c>
      <c r="C12" s="182">
        <f>25.5+510.9</f>
        <v>536.4</v>
      </c>
      <c r="D12" s="182">
        <v>25.5</v>
      </c>
      <c r="E12" s="182">
        <v>7468.1</v>
      </c>
      <c r="F12" s="182">
        <v>355.6</v>
      </c>
      <c r="G12" s="182">
        <f t="shared" si="1"/>
        <v>510.9</v>
      </c>
      <c r="H12" s="190">
        <f t="shared" si="0"/>
        <v>7468.1</v>
      </c>
      <c r="I12" s="190">
        <f t="shared" si="2"/>
        <v>7468.1</v>
      </c>
      <c r="J12" s="182">
        <v>510.9</v>
      </c>
      <c r="K12" s="182">
        <v>510.9</v>
      </c>
    </row>
    <row r="13" spans="1:11" ht="15.75">
      <c r="A13" s="89" t="s">
        <v>118</v>
      </c>
      <c r="B13" s="182">
        <v>7112.5</v>
      </c>
      <c r="C13" s="182">
        <f>15.2+304.4</f>
        <v>319.59999999999997</v>
      </c>
      <c r="D13" s="182">
        <v>15.2</v>
      </c>
      <c r="E13" s="182">
        <v>7468.1</v>
      </c>
      <c r="F13" s="182">
        <v>355.6</v>
      </c>
      <c r="G13" s="182">
        <f t="shared" si="1"/>
        <v>304.4</v>
      </c>
      <c r="H13" s="190">
        <f t="shared" si="0"/>
        <v>7468.1</v>
      </c>
      <c r="I13" s="190">
        <f t="shared" si="2"/>
        <v>7468.1</v>
      </c>
      <c r="J13" s="182">
        <v>304.4</v>
      </c>
      <c r="K13" s="182">
        <v>304.4</v>
      </c>
    </row>
    <row r="14" spans="1:11" ht="15.75">
      <c r="A14" s="89" t="s">
        <v>119</v>
      </c>
      <c r="B14" s="182">
        <v>7112.5</v>
      </c>
      <c r="C14" s="182">
        <f>15+299.8</f>
        <v>314.8</v>
      </c>
      <c r="D14" s="182">
        <v>15</v>
      </c>
      <c r="E14" s="182">
        <v>7468.1</v>
      </c>
      <c r="F14" s="182">
        <v>355.6</v>
      </c>
      <c r="G14" s="182">
        <f t="shared" si="1"/>
        <v>299.8</v>
      </c>
      <c r="H14" s="190">
        <f t="shared" si="0"/>
        <v>7468.1</v>
      </c>
      <c r="I14" s="190">
        <f t="shared" si="2"/>
        <v>7468.1</v>
      </c>
      <c r="J14" s="182">
        <v>299.8</v>
      </c>
      <c r="K14" s="182">
        <v>299.8</v>
      </c>
    </row>
    <row r="15" spans="1:11" ht="15.75">
      <c r="A15" s="89" t="s">
        <v>120</v>
      </c>
      <c r="B15" s="182">
        <v>7112.5</v>
      </c>
      <c r="C15" s="182">
        <f>18.5+369.9</f>
        <v>388.4</v>
      </c>
      <c r="D15" s="182">
        <v>18.5</v>
      </c>
      <c r="E15" s="182">
        <v>7468.1</v>
      </c>
      <c r="F15" s="182">
        <v>355.6</v>
      </c>
      <c r="G15" s="182">
        <f t="shared" si="1"/>
        <v>369.9</v>
      </c>
      <c r="H15" s="190">
        <f t="shared" si="0"/>
        <v>7468.1</v>
      </c>
      <c r="I15" s="190">
        <f t="shared" si="2"/>
        <v>7468.1</v>
      </c>
      <c r="J15" s="182">
        <v>369.9</v>
      </c>
      <c r="K15" s="182">
        <v>369.9</v>
      </c>
    </row>
    <row r="16" spans="1:11" ht="21.75" customHeight="1">
      <c r="A16" s="189" t="s">
        <v>12</v>
      </c>
      <c r="B16" s="182">
        <v>7112.5</v>
      </c>
      <c r="C16" s="191">
        <f>SUM(C7:C15)</f>
        <v>7468.1</v>
      </c>
      <c r="D16" s="182">
        <f>SUM(D7:D15)</f>
        <v>355.59999999999997</v>
      </c>
      <c r="E16" s="182">
        <v>7468.1</v>
      </c>
      <c r="F16" s="182">
        <v>355.6</v>
      </c>
      <c r="G16" s="182">
        <f>SUM(G7:G15)</f>
        <v>7112.499999999999</v>
      </c>
      <c r="H16" s="182">
        <f>SUM(H7:H15)</f>
        <v>67212.9</v>
      </c>
      <c r="I16" s="182">
        <f>SUM(I7:I15)</f>
        <v>67212.9</v>
      </c>
      <c r="J16" s="182">
        <f>SUM(J7:J15)</f>
        <v>7112.499999999999</v>
      </c>
      <c r="K16" s="182">
        <f>SUM(K7:K15)</f>
        <v>7112.499999999999</v>
      </c>
    </row>
    <row r="17" ht="27" customHeight="1">
      <c r="A17" s="183" t="s">
        <v>316</v>
      </c>
    </row>
  </sheetData>
  <sheetProtection/>
  <mergeCells count="2">
    <mergeCell ref="A2:K2"/>
    <mergeCell ref="A1:K1"/>
  </mergeCells>
  <printOptions horizontalCentered="1"/>
  <pageMargins left="0.2362204724409449" right="0.1968503937007874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U179"/>
  <sheetViews>
    <sheetView view="pageBreakPreview" zoomScale="81" zoomScaleSheetLayoutView="81" zoomScalePageLayoutView="0" workbookViewId="0" topLeftCell="A1">
      <selection activeCell="D21" sqref="D21"/>
    </sheetView>
  </sheetViews>
  <sheetFormatPr defaultColWidth="11.875" defaultRowHeight="12.75"/>
  <cols>
    <col min="1" max="1" width="40.375" style="58" customWidth="1"/>
    <col min="2" max="2" width="11.75390625" style="58" customWidth="1"/>
    <col min="3" max="3" width="15.00390625" style="58" customWidth="1"/>
    <col min="4" max="4" width="15.625" style="58" customWidth="1"/>
    <col min="5" max="5" width="14.25390625" style="58" customWidth="1"/>
    <col min="6" max="6" width="13.25390625" style="58" customWidth="1"/>
    <col min="7" max="7" width="18.875" style="58" customWidth="1"/>
    <col min="8" max="8" width="14.00390625" style="58" customWidth="1"/>
    <col min="9" max="9" width="8.375" style="58" hidden="1" customWidth="1"/>
    <col min="10" max="10" width="23.25390625" style="58" hidden="1" customWidth="1"/>
    <col min="11" max="11" width="25.625" style="58" hidden="1" customWidth="1"/>
    <col min="12" max="12" width="14.125" style="58" hidden="1" customWidth="1"/>
    <col min="13" max="16" width="12.00390625" style="58" hidden="1" customWidth="1"/>
    <col min="17" max="19" width="21.125" style="58" customWidth="1"/>
    <col min="20" max="20" width="8.625" style="58" customWidth="1"/>
    <col min="21" max="21" width="9.75390625" style="58" hidden="1" customWidth="1"/>
    <col min="22" max="22" width="15.625" style="58" customWidth="1"/>
    <col min="23" max="23" width="28.125" style="58" customWidth="1"/>
    <col min="24" max="24" width="19.25390625" style="58" customWidth="1"/>
    <col min="25" max="25" width="14.00390625" style="58" customWidth="1"/>
    <col min="26" max="26" width="27.375" style="58" customWidth="1"/>
    <col min="27" max="27" width="43.75390625" style="58" customWidth="1"/>
    <col min="28" max="28" width="13.125" style="58" customWidth="1"/>
    <col min="29" max="29" width="5.875" style="58" hidden="1" customWidth="1"/>
    <col min="30" max="30" width="25.75390625" style="58" customWidth="1"/>
    <col min="31" max="31" width="29.00390625" style="58" customWidth="1"/>
    <col min="32" max="32" width="30.125" style="58" customWidth="1"/>
    <col min="33" max="33" width="15.125" style="58" customWidth="1"/>
    <col min="34" max="34" width="24.25390625" style="58" customWidth="1"/>
    <col min="35" max="35" width="38.00390625" style="58" customWidth="1"/>
    <col min="36" max="36" width="14.125" style="58" customWidth="1"/>
    <col min="37" max="37" width="1.625" style="58" hidden="1" customWidth="1"/>
    <col min="38" max="38" width="19.00390625" style="58" customWidth="1"/>
    <col min="39" max="39" width="6.125" style="58" hidden="1" customWidth="1"/>
    <col min="40" max="40" width="5.00390625" style="58" hidden="1" customWidth="1"/>
    <col min="41" max="41" width="8.125" style="58" hidden="1" customWidth="1"/>
    <col min="42" max="42" width="2.75390625" style="58" hidden="1" customWidth="1"/>
    <col min="43" max="43" width="12.00390625" style="58" hidden="1" customWidth="1"/>
    <col min="44" max="44" width="4.875" style="58" hidden="1" customWidth="1"/>
    <col min="45" max="45" width="13.25390625" style="58" hidden="1" customWidth="1"/>
    <col min="46" max="46" width="22.875" style="58" customWidth="1"/>
    <col min="47" max="47" width="18.625" style="58" customWidth="1"/>
    <col min="48" max="48" width="18.375" style="58" customWidth="1"/>
    <col min="49" max="49" width="15.00390625" style="58" customWidth="1"/>
    <col min="50" max="50" width="14.625" style="58" customWidth="1"/>
    <col min="51" max="51" width="18.25390625" style="58" customWidth="1"/>
    <col min="52" max="52" width="34.875" style="58" customWidth="1"/>
    <col min="53" max="53" width="15.625" style="58" customWidth="1"/>
    <col min="54" max="54" width="9.125" style="58" hidden="1" customWidth="1"/>
    <col min="55" max="55" width="12.875" style="58" customWidth="1"/>
    <col min="56" max="56" width="19.875" style="58" customWidth="1"/>
    <col min="57" max="57" width="2.875" style="58" hidden="1" customWidth="1"/>
    <col min="58" max="59" width="13.00390625" style="58" customWidth="1"/>
    <col min="60" max="60" width="12.00390625" style="58" customWidth="1"/>
    <col min="61" max="61" width="12.875" style="58" customWidth="1"/>
    <col min="62" max="62" width="12.00390625" style="58" customWidth="1"/>
    <col min="63" max="63" width="13.875" style="58" customWidth="1"/>
    <col min="64" max="64" width="29.375" style="58" customWidth="1"/>
    <col min="65" max="65" width="8.125" style="58" customWidth="1"/>
    <col min="66" max="66" width="1.12109375" style="58" hidden="1" customWidth="1"/>
    <col min="67" max="67" width="7.375" style="58" customWidth="1"/>
    <col min="68" max="68" width="10.25390625" style="58" customWidth="1"/>
    <col min="69" max="69" width="10.625" style="58" bestFit="1" customWidth="1"/>
    <col min="70" max="70" width="10.375" style="58" customWidth="1"/>
    <col min="71" max="71" width="12.25390625" style="58" customWidth="1"/>
    <col min="72" max="72" width="9.375" style="58" bestFit="1" customWidth="1"/>
    <col min="73" max="252" width="9.125" style="58" customWidth="1"/>
    <col min="253" max="253" width="27.375" style="58" customWidth="1"/>
    <col min="254" max="254" width="16.875" style="58" customWidth="1"/>
    <col min="255" max="255" width="15.00390625" style="58" customWidth="1"/>
    <col min="256" max="16384" width="11.875" style="58" customWidth="1"/>
  </cols>
  <sheetData>
    <row r="1" spans="1:19" ht="15.75">
      <c r="A1" s="493" t="s">
        <v>107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</row>
    <row r="2" spans="1:73" ht="53.25" customHeight="1">
      <c r="A2" s="492" t="s">
        <v>360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226"/>
      <c r="U2" s="226"/>
      <c r="V2" s="226"/>
      <c r="W2" s="227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60"/>
      <c r="BQ2" s="60"/>
      <c r="BR2" s="60"/>
      <c r="BS2" s="60"/>
      <c r="BT2" s="60"/>
      <c r="BU2" s="60"/>
    </row>
    <row r="3" spans="1:73" ht="21.75" customHeight="1">
      <c r="A3" s="560"/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226"/>
      <c r="S3" s="226"/>
      <c r="T3" s="226"/>
      <c r="U3" s="226"/>
      <c r="V3" s="226"/>
      <c r="W3" s="227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60"/>
      <c r="BQ3" s="60"/>
      <c r="BR3" s="60"/>
      <c r="BS3" s="60"/>
      <c r="BT3" s="60"/>
      <c r="BU3" s="60"/>
    </row>
    <row r="4" spans="1:73" ht="18" customHeight="1">
      <c r="A4" s="227"/>
      <c r="B4" s="227"/>
      <c r="C4" s="227"/>
      <c r="D4" s="227"/>
      <c r="E4" s="227"/>
      <c r="F4" s="227"/>
      <c r="G4" s="227"/>
      <c r="H4" s="227"/>
      <c r="I4" s="227"/>
      <c r="J4" s="228" t="s">
        <v>30</v>
      </c>
      <c r="K4" s="227"/>
      <c r="L4" s="226"/>
      <c r="M4" s="226"/>
      <c r="N4" s="226"/>
      <c r="O4" s="226"/>
      <c r="P4" s="226"/>
      <c r="Q4" s="228"/>
      <c r="R4" s="228"/>
      <c r="S4" s="228" t="s">
        <v>30</v>
      </c>
      <c r="T4" s="226"/>
      <c r="U4" s="226"/>
      <c r="V4" s="226"/>
      <c r="W4" s="227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60"/>
      <c r="BQ4" s="60"/>
      <c r="BR4" s="60"/>
      <c r="BS4" s="60"/>
      <c r="BT4" s="60"/>
      <c r="BU4" s="60"/>
    </row>
    <row r="5" spans="1:19" s="39" customFormat="1" ht="14.25" customHeight="1">
      <c r="A5" s="559" t="s">
        <v>223</v>
      </c>
      <c r="B5" s="559" t="s">
        <v>224</v>
      </c>
      <c r="C5" s="559" t="s">
        <v>225</v>
      </c>
      <c r="D5" s="559"/>
      <c r="E5" s="559"/>
      <c r="F5" s="559" t="s">
        <v>226</v>
      </c>
      <c r="G5" s="559" t="s">
        <v>227</v>
      </c>
      <c r="H5" s="559" t="s">
        <v>228</v>
      </c>
      <c r="I5" s="558" t="s">
        <v>229</v>
      </c>
      <c r="J5" s="558" t="s">
        <v>229</v>
      </c>
      <c r="K5" s="561" t="s">
        <v>144</v>
      </c>
      <c r="L5" s="561" t="s">
        <v>174</v>
      </c>
      <c r="M5" s="65"/>
      <c r="N5" s="65"/>
      <c r="O5" s="558" t="s">
        <v>230</v>
      </c>
      <c r="P5" s="558" t="s">
        <v>231</v>
      </c>
      <c r="Q5" s="558" t="s">
        <v>231</v>
      </c>
      <c r="R5" s="558" t="s">
        <v>321</v>
      </c>
      <c r="S5" s="558" t="s">
        <v>361</v>
      </c>
    </row>
    <row r="6" spans="1:19" s="39" customFormat="1" ht="48.75" customHeight="1">
      <c r="A6" s="559"/>
      <c r="B6" s="559"/>
      <c r="C6" s="216" t="s">
        <v>232</v>
      </c>
      <c r="D6" s="216" t="s">
        <v>233</v>
      </c>
      <c r="E6" s="216" t="s">
        <v>234</v>
      </c>
      <c r="F6" s="559"/>
      <c r="G6" s="559"/>
      <c r="H6" s="559"/>
      <c r="I6" s="558"/>
      <c r="J6" s="558"/>
      <c r="K6" s="561"/>
      <c r="L6" s="561"/>
      <c r="M6" s="65"/>
      <c r="N6" s="65"/>
      <c r="O6" s="558"/>
      <c r="P6" s="558"/>
      <c r="Q6" s="558"/>
      <c r="R6" s="558"/>
      <c r="S6" s="558"/>
    </row>
    <row r="7" spans="1:19" s="39" customFormat="1" ht="24.75" customHeight="1">
      <c r="A7" s="216" t="s">
        <v>15</v>
      </c>
      <c r="B7" s="57">
        <f>B170</f>
        <v>1882</v>
      </c>
      <c r="C7" s="57">
        <f aca="true" t="shared" si="0" ref="C7:P7">C170</f>
        <v>579</v>
      </c>
      <c r="D7" s="57">
        <f t="shared" si="0"/>
        <v>678</v>
      </c>
      <c r="E7" s="57">
        <f t="shared" si="0"/>
        <v>625</v>
      </c>
      <c r="F7" s="56"/>
      <c r="G7" s="56"/>
      <c r="H7" s="56"/>
      <c r="I7" s="56">
        <f t="shared" si="0"/>
        <v>37480.6</v>
      </c>
      <c r="J7" s="56">
        <f t="shared" si="0"/>
        <v>45622515.9376</v>
      </c>
      <c r="K7" s="56">
        <f t="shared" si="0"/>
        <v>42639.5</v>
      </c>
      <c r="L7" s="56">
        <f t="shared" si="0"/>
        <v>5158.899999999999</v>
      </c>
      <c r="M7" s="56">
        <f t="shared" si="0"/>
        <v>41902200</v>
      </c>
      <c r="N7" s="56">
        <f t="shared" si="0"/>
        <v>-41864719.39999999</v>
      </c>
      <c r="O7" s="56">
        <f t="shared" si="0"/>
        <v>37480.6</v>
      </c>
      <c r="P7" s="56">
        <f t="shared" si="0"/>
        <v>37480.6</v>
      </c>
      <c r="Q7" s="56">
        <f>SUM(Q8:Q16)</f>
        <v>37321.200000000004</v>
      </c>
      <c r="R7" s="56">
        <f>SUM(R8:R16)</f>
        <v>37321.200000000004</v>
      </c>
      <c r="S7" s="56">
        <f>SUM(S8:S16)</f>
        <v>37321.200000000004</v>
      </c>
    </row>
    <row r="8" spans="1:19" s="39" customFormat="1" ht="18" customHeight="1">
      <c r="A8" s="220" t="s">
        <v>14</v>
      </c>
      <c r="B8" s="57">
        <f>B171</f>
        <v>1093</v>
      </c>
      <c r="C8" s="57">
        <f aca="true" t="shared" si="1" ref="C8:E9">C171</f>
        <v>390</v>
      </c>
      <c r="D8" s="57">
        <f t="shared" si="1"/>
        <v>537</v>
      </c>
      <c r="E8" s="57">
        <f t="shared" si="1"/>
        <v>166</v>
      </c>
      <c r="F8" s="56"/>
      <c r="G8" s="56"/>
      <c r="H8" s="56"/>
      <c r="I8" s="221" t="e">
        <f>#REF!+#REF!+#REF!+#REF!+#REF!+#REF!+#REF!+#REF!+#REF!+#REF!+#REF!+#REF!+#REF!</f>
        <v>#REF!</v>
      </c>
      <c r="J8" s="221">
        <v>27446313.76</v>
      </c>
      <c r="K8" s="54">
        <v>28490.4</v>
      </c>
      <c r="L8" s="54" t="e">
        <f>K8-I8</f>
        <v>#REF!</v>
      </c>
      <c r="M8" s="54">
        <v>28274500</v>
      </c>
      <c r="N8" s="55" t="e">
        <f>I8-M8</f>
        <v>#REF!</v>
      </c>
      <c r="O8" s="55" t="e">
        <f>I8</f>
        <v>#REF!</v>
      </c>
      <c r="P8" s="55" t="e">
        <f>O8</f>
        <v>#REF!</v>
      </c>
      <c r="Q8" s="56">
        <v>22422.9</v>
      </c>
      <c r="R8" s="56">
        <v>22422.9</v>
      </c>
      <c r="S8" s="56">
        <v>22422.9</v>
      </c>
    </row>
    <row r="9" spans="1:19" s="39" customFormat="1" ht="18" customHeight="1">
      <c r="A9" s="220" t="s">
        <v>113</v>
      </c>
      <c r="B9" s="57">
        <f>B172</f>
        <v>164</v>
      </c>
      <c r="C9" s="57">
        <f t="shared" si="1"/>
        <v>40</v>
      </c>
      <c r="D9" s="57">
        <f t="shared" si="1"/>
        <v>23</v>
      </c>
      <c r="E9" s="57">
        <f t="shared" si="1"/>
        <v>101</v>
      </c>
      <c r="F9" s="56"/>
      <c r="G9" s="56"/>
      <c r="H9" s="56"/>
      <c r="I9" s="221" t="e">
        <f>#REF!+#REF!+#REF!+#REF!+#REF!+#REF!+#REF!+#REF!+#REF!+#REF!+#REF!+#REF!+#REF!</f>
        <v>#REF!</v>
      </c>
      <c r="J9" s="221">
        <v>3687289.86</v>
      </c>
      <c r="K9" s="54">
        <v>2659.5</v>
      </c>
      <c r="L9" s="54" t="e">
        <f aca="true" t="shared" si="2" ref="L9:L16">K9-I9</f>
        <v>#REF!</v>
      </c>
      <c r="M9" s="54">
        <v>2654900</v>
      </c>
      <c r="N9" s="55" t="e">
        <f aca="true" t="shared" si="3" ref="N9:N16">I9-M9</f>
        <v>#REF!</v>
      </c>
      <c r="O9" s="55" t="e">
        <f aca="true" t="shared" si="4" ref="O9:O16">I9</f>
        <v>#REF!</v>
      </c>
      <c r="P9" s="55" t="e">
        <f aca="true" t="shared" si="5" ref="P9:P16">O9</f>
        <v>#REF!</v>
      </c>
      <c r="Q9" s="56">
        <v>3131.6</v>
      </c>
      <c r="R9" s="56">
        <v>3131.6</v>
      </c>
      <c r="S9" s="56">
        <v>3131.6</v>
      </c>
    </row>
    <row r="10" spans="1:19" s="39" customFormat="1" ht="18" customHeight="1">
      <c r="A10" s="220" t="s">
        <v>109</v>
      </c>
      <c r="B10" s="57">
        <f aca="true" t="shared" si="6" ref="B10:E16">B173</f>
        <v>86</v>
      </c>
      <c r="C10" s="57">
        <f t="shared" si="6"/>
        <v>25</v>
      </c>
      <c r="D10" s="57">
        <f t="shared" si="6"/>
        <v>15</v>
      </c>
      <c r="E10" s="57">
        <f t="shared" si="6"/>
        <v>46</v>
      </c>
      <c r="F10" s="56"/>
      <c r="G10" s="56"/>
      <c r="H10" s="56"/>
      <c r="I10" s="221" t="e">
        <f>#REF!+#REF!+#REF!+#REF!+#REF!+#REF!+#REF!+#REF!+#REF!+#REF!+#REF!+#REF!+#REF!</f>
        <v>#REF!</v>
      </c>
      <c r="J10" s="221">
        <v>1880429.82</v>
      </c>
      <c r="K10" s="54">
        <v>1584.3</v>
      </c>
      <c r="L10" s="54" t="e">
        <f t="shared" si="2"/>
        <v>#REF!</v>
      </c>
      <c r="M10" s="54">
        <v>1363600</v>
      </c>
      <c r="N10" s="55" t="e">
        <f t="shared" si="3"/>
        <v>#REF!</v>
      </c>
      <c r="O10" s="55" t="e">
        <f t="shared" si="4"/>
        <v>#REF!</v>
      </c>
      <c r="P10" s="55" t="e">
        <f t="shared" si="5"/>
        <v>#REF!</v>
      </c>
      <c r="Q10" s="56">
        <v>1507.8</v>
      </c>
      <c r="R10" s="56">
        <v>1507.8</v>
      </c>
      <c r="S10" s="56">
        <v>1507.8</v>
      </c>
    </row>
    <row r="11" spans="1:19" s="39" customFormat="1" ht="18" customHeight="1">
      <c r="A11" s="220" t="s">
        <v>116</v>
      </c>
      <c r="B11" s="57">
        <f t="shared" si="6"/>
        <v>34</v>
      </c>
      <c r="C11" s="57">
        <f t="shared" si="6"/>
        <v>6</v>
      </c>
      <c r="D11" s="57">
        <f t="shared" si="6"/>
        <v>4</v>
      </c>
      <c r="E11" s="57">
        <f t="shared" si="6"/>
        <v>24</v>
      </c>
      <c r="F11" s="56"/>
      <c r="G11" s="56"/>
      <c r="H11" s="56"/>
      <c r="I11" s="221" t="e">
        <f>I1+#REF!+#REF!+#REF!+#REF!+#REF!+#REF!+#REF!+#REF!+#REF!+#REF!+#REF!+#REF!</f>
        <v>#REF!</v>
      </c>
      <c r="J11" s="221">
        <v>754559.5176000001</v>
      </c>
      <c r="K11" s="54">
        <v>620.8</v>
      </c>
      <c r="L11" s="54" t="e">
        <f t="shared" si="2"/>
        <v>#REF!</v>
      </c>
      <c r="M11" s="54">
        <v>642200</v>
      </c>
      <c r="N11" s="55" t="e">
        <f t="shared" si="3"/>
        <v>#REF!</v>
      </c>
      <c r="O11" s="55" t="e">
        <f t="shared" si="4"/>
        <v>#REF!</v>
      </c>
      <c r="P11" s="55" t="e">
        <f t="shared" si="5"/>
        <v>#REF!</v>
      </c>
      <c r="Q11" s="56">
        <v>721.7</v>
      </c>
      <c r="R11" s="56">
        <v>721.7</v>
      </c>
      <c r="S11" s="56">
        <v>721.7</v>
      </c>
    </row>
    <row r="12" spans="1:19" s="39" customFormat="1" ht="18" customHeight="1">
      <c r="A12" s="220" t="s">
        <v>112</v>
      </c>
      <c r="B12" s="57">
        <f t="shared" si="6"/>
        <v>69</v>
      </c>
      <c r="C12" s="57">
        <f t="shared" si="6"/>
        <v>22</v>
      </c>
      <c r="D12" s="57">
        <f t="shared" si="6"/>
        <v>19</v>
      </c>
      <c r="E12" s="57">
        <f t="shared" si="6"/>
        <v>28</v>
      </c>
      <c r="F12" s="56"/>
      <c r="G12" s="56"/>
      <c r="H12" s="56"/>
      <c r="I12" s="221" t="e">
        <f>I2+#REF!+#REF!+#REF!+#REF!+#REF!+#REF!+#REF!+#REF!+#REF!+#REF!+#REF!+#REF!</f>
        <v>#REF!</v>
      </c>
      <c r="J12" s="221">
        <v>1459086.2999999998</v>
      </c>
      <c r="K12" s="54">
        <v>1294.2</v>
      </c>
      <c r="L12" s="54" t="e">
        <f t="shared" si="2"/>
        <v>#REF!</v>
      </c>
      <c r="M12" s="54">
        <v>1247300</v>
      </c>
      <c r="N12" s="55" t="e">
        <f t="shared" si="3"/>
        <v>#REF!</v>
      </c>
      <c r="O12" s="55" t="e">
        <f t="shared" si="4"/>
        <v>#REF!</v>
      </c>
      <c r="P12" s="55" t="e">
        <f t="shared" si="5"/>
        <v>#REF!</v>
      </c>
      <c r="Q12" s="56">
        <v>1412</v>
      </c>
      <c r="R12" s="56">
        <v>1412</v>
      </c>
      <c r="S12" s="56">
        <v>1412</v>
      </c>
    </row>
    <row r="13" spans="1:19" s="39" customFormat="1" ht="18" customHeight="1">
      <c r="A13" s="220" t="s">
        <v>117</v>
      </c>
      <c r="B13" s="57">
        <f t="shared" si="6"/>
        <v>110</v>
      </c>
      <c r="C13" s="57">
        <f t="shared" si="6"/>
        <v>19</v>
      </c>
      <c r="D13" s="57">
        <f t="shared" si="6"/>
        <v>23</v>
      </c>
      <c r="E13" s="57">
        <f t="shared" si="6"/>
        <v>68</v>
      </c>
      <c r="F13" s="56"/>
      <c r="G13" s="56"/>
      <c r="H13" s="56"/>
      <c r="I13" s="221" t="e">
        <f>I3+#REF!+#REF!+#REF!+#REF!+#REF!+#REF!+#REF!+#REF!+#REF!+#REF!+#REF!+#REF!</f>
        <v>#REF!</v>
      </c>
      <c r="J13" s="221">
        <v>2518508.0600000005</v>
      </c>
      <c r="K13" s="54">
        <v>1699</v>
      </c>
      <c r="L13" s="54" t="e">
        <f t="shared" si="2"/>
        <v>#REF!</v>
      </c>
      <c r="M13" s="54">
        <v>1728900</v>
      </c>
      <c r="N13" s="55" t="e">
        <f t="shared" si="3"/>
        <v>#REF!</v>
      </c>
      <c r="O13" s="55" t="e">
        <f t="shared" si="4"/>
        <v>#REF!</v>
      </c>
      <c r="P13" s="55" t="e">
        <f t="shared" si="5"/>
        <v>#REF!</v>
      </c>
      <c r="Q13" s="56">
        <v>2086.4</v>
      </c>
      <c r="R13" s="56">
        <v>2086.4</v>
      </c>
      <c r="S13" s="56">
        <v>2086.4</v>
      </c>
    </row>
    <row r="14" spans="1:19" s="39" customFormat="1" ht="18" customHeight="1">
      <c r="A14" s="220" t="s">
        <v>118</v>
      </c>
      <c r="B14" s="57">
        <f t="shared" si="6"/>
        <v>67</v>
      </c>
      <c r="C14" s="57">
        <f t="shared" si="6"/>
        <v>14</v>
      </c>
      <c r="D14" s="57">
        <f t="shared" si="6"/>
        <v>7</v>
      </c>
      <c r="E14" s="57">
        <f t="shared" si="6"/>
        <v>46</v>
      </c>
      <c r="F14" s="56"/>
      <c r="G14" s="56"/>
      <c r="H14" s="56"/>
      <c r="I14" s="221" t="e">
        <f>I4+#REF!+#REF!+#REF!+#REF!+#REF!+#REF!+#REF!+#REF!+#REF!+#REF!+#REF!+#REF!</f>
        <v>#REF!</v>
      </c>
      <c r="J14" s="221">
        <v>1728486.08</v>
      </c>
      <c r="K14" s="54">
        <v>1146.9</v>
      </c>
      <c r="L14" s="54" t="e">
        <f t="shared" si="2"/>
        <v>#REF!</v>
      </c>
      <c r="M14" s="54">
        <v>1145500</v>
      </c>
      <c r="N14" s="55" t="e">
        <f t="shared" si="3"/>
        <v>#REF!</v>
      </c>
      <c r="O14" s="55" t="e">
        <f t="shared" si="4"/>
        <v>#REF!</v>
      </c>
      <c r="P14" s="55" t="e">
        <f t="shared" si="5"/>
        <v>#REF!</v>
      </c>
      <c r="Q14" s="56">
        <v>1216.7</v>
      </c>
      <c r="R14" s="56">
        <v>1216.7</v>
      </c>
      <c r="S14" s="56">
        <v>1216.7</v>
      </c>
    </row>
    <row r="15" spans="1:19" s="39" customFormat="1" ht="18" customHeight="1">
      <c r="A15" s="220" t="s">
        <v>119</v>
      </c>
      <c r="B15" s="57">
        <f t="shared" si="6"/>
        <v>109</v>
      </c>
      <c r="C15" s="57">
        <f t="shared" si="6"/>
        <v>34</v>
      </c>
      <c r="D15" s="57">
        <f t="shared" si="6"/>
        <v>25</v>
      </c>
      <c r="E15" s="57">
        <f t="shared" si="6"/>
        <v>50</v>
      </c>
      <c r="F15" s="56"/>
      <c r="G15" s="56"/>
      <c r="H15" s="56"/>
      <c r="I15" s="221" t="e">
        <f>I5+#REF!+#REF!+#REF!+#REF!+#REF!+#REF!+#REF!+#REF!+#REF!+#REF!+#REF!+#REF!</f>
        <v>#VALUE!</v>
      </c>
      <c r="J15" s="221">
        <v>2609162.3600000003</v>
      </c>
      <c r="K15" s="54">
        <v>2273.1</v>
      </c>
      <c r="L15" s="54" t="e">
        <f t="shared" si="2"/>
        <v>#VALUE!</v>
      </c>
      <c r="M15" s="54">
        <v>2225800</v>
      </c>
      <c r="N15" s="55" t="e">
        <f t="shared" si="3"/>
        <v>#VALUE!</v>
      </c>
      <c r="O15" s="55" t="e">
        <f t="shared" si="4"/>
        <v>#VALUE!</v>
      </c>
      <c r="P15" s="55" t="e">
        <f t="shared" si="5"/>
        <v>#VALUE!</v>
      </c>
      <c r="Q15" s="56">
        <v>1975.8</v>
      </c>
      <c r="R15" s="56">
        <v>1975.8</v>
      </c>
      <c r="S15" s="56">
        <v>1975.8</v>
      </c>
    </row>
    <row r="16" spans="1:19" s="39" customFormat="1" ht="18" customHeight="1">
      <c r="A16" s="220" t="s">
        <v>120</v>
      </c>
      <c r="B16" s="57">
        <f t="shared" si="6"/>
        <v>150</v>
      </c>
      <c r="C16" s="57">
        <f t="shared" si="6"/>
        <v>29</v>
      </c>
      <c r="D16" s="57">
        <f t="shared" si="6"/>
        <v>25</v>
      </c>
      <c r="E16" s="57">
        <f t="shared" si="6"/>
        <v>96</v>
      </c>
      <c r="F16" s="56"/>
      <c r="G16" s="56"/>
      <c r="H16" s="56"/>
      <c r="I16" s="221" t="e">
        <f>I6+#REF!+#REF!+#REF!+#REF!+#REF!+#REF!+#REF!+#REF!+#REF!+#REF!+#REF!+#REF!</f>
        <v>#REF!</v>
      </c>
      <c r="J16" s="221">
        <v>3538680.1799999997</v>
      </c>
      <c r="K16" s="54">
        <v>2871.3</v>
      </c>
      <c r="L16" s="54" t="e">
        <f t="shared" si="2"/>
        <v>#REF!</v>
      </c>
      <c r="M16" s="54">
        <v>2619500</v>
      </c>
      <c r="N16" s="55" t="e">
        <f t="shared" si="3"/>
        <v>#REF!</v>
      </c>
      <c r="O16" s="55" t="e">
        <f t="shared" si="4"/>
        <v>#REF!</v>
      </c>
      <c r="P16" s="55" t="e">
        <f t="shared" si="5"/>
        <v>#REF!</v>
      </c>
      <c r="Q16" s="56">
        <v>2846.3</v>
      </c>
      <c r="R16" s="56">
        <v>2846.3</v>
      </c>
      <c r="S16" s="56">
        <v>2846.3</v>
      </c>
    </row>
    <row r="17" spans="1:19" s="39" customFormat="1" ht="13.5" customHeight="1">
      <c r="A17" s="559" t="s">
        <v>13</v>
      </c>
      <c r="B17" s="559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</row>
    <row r="18" spans="1:19" s="39" customFormat="1" ht="19.5" customHeight="1">
      <c r="A18" s="216" t="s">
        <v>235</v>
      </c>
      <c r="B18" s="49" t="s">
        <v>236</v>
      </c>
      <c r="C18" s="49"/>
      <c r="D18" s="49"/>
      <c r="E18" s="49"/>
      <c r="F18" s="49" t="s">
        <v>237</v>
      </c>
      <c r="G18" s="49"/>
      <c r="H18" s="49"/>
      <c r="I18" s="222"/>
      <c r="J18" s="222"/>
      <c r="K18" s="65"/>
      <c r="L18" s="65"/>
      <c r="M18" s="65"/>
      <c r="N18" s="65"/>
      <c r="O18" s="65"/>
      <c r="P18" s="65"/>
      <c r="Q18" s="222"/>
      <c r="R18" s="222"/>
      <c r="S18" s="222"/>
    </row>
    <row r="19" spans="1:19" s="39" customFormat="1" ht="19.5" customHeight="1" hidden="1">
      <c r="A19" s="216"/>
      <c r="B19" s="49"/>
      <c r="C19" s="49"/>
      <c r="D19" s="49"/>
      <c r="E19" s="49"/>
      <c r="F19" s="49"/>
      <c r="G19" s="49"/>
      <c r="H19" s="49"/>
      <c r="I19" s="222"/>
      <c r="J19" s="222"/>
      <c r="K19" s="65"/>
      <c r="L19" s="65"/>
      <c r="M19" s="65"/>
      <c r="N19" s="65"/>
      <c r="O19" s="65"/>
      <c r="P19" s="65"/>
      <c r="Q19" s="222"/>
      <c r="R19" s="222"/>
      <c r="S19" s="222"/>
    </row>
    <row r="20" spans="1:19" s="39" customFormat="1" ht="29.25" customHeight="1">
      <c r="A20" s="220" t="s">
        <v>238</v>
      </c>
      <c r="B20" s="57">
        <f>SUM(B21:B29)</f>
        <v>11</v>
      </c>
      <c r="C20" s="57">
        <f>SUM(C21:C29)</f>
        <v>6</v>
      </c>
      <c r="D20" s="57">
        <f>SUM(D21:D29)</f>
        <v>0</v>
      </c>
      <c r="E20" s="57">
        <f>SUM(E21:E29)</f>
        <v>5</v>
      </c>
      <c r="F20" s="218"/>
      <c r="G20" s="218"/>
      <c r="H20" s="218"/>
      <c r="I20" s="223">
        <f>SUM(I21:I29)</f>
        <v>400.9</v>
      </c>
      <c r="J20" s="223">
        <f aca="true" t="shared" si="7" ref="J20:P20">SUM(J21:J29)</f>
        <v>2950951.7800000003</v>
      </c>
      <c r="K20" s="217">
        <f t="shared" si="7"/>
        <v>0</v>
      </c>
      <c r="L20" s="217">
        <f t="shared" si="7"/>
        <v>0</v>
      </c>
      <c r="M20" s="217">
        <f t="shared" si="7"/>
        <v>0</v>
      </c>
      <c r="N20" s="217">
        <f t="shared" si="7"/>
        <v>0</v>
      </c>
      <c r="O20" s="217">
        <f t="shared" si="7"/>
        <v>400.9</v>
      </c>
      <c r="P20" s="217">
        <f t="shared" si="7"/>
        <v>400.9</v>
      </c>
      <c r="Q20" s="221">
        <f>SUM(Q21:Q29)</f>
        <v>400.9</v>
      </c>
      <c r="R20" s="221"/>
      <c r="S20" s="221"/>
    </row>
    <row r="21" spans="1:19" s="39" customFormat="1" ht="15.75" customHeight="1">
      <c r="A21" s="224" t="s">
        <v>14</v>
      </c>
      <c r="B21" s="57">
        <v>4</v>
      </c>
      <c r="C21" s="57">
        <v>1</v>
      </c>
      <c r="D21" s="57">
        <v>0</v>
      </c>
      <c r="E21" s="57">
        <v>3</v>
      </c>
      <c r="F21" s="218">
        <v>35000</v>
      </c>
      <c r="G21" s="218"/>
      <c r="H21" s="218"/>
      <c r="I21" s="223">
        <f>ROUND(F21*B21/1000,1)</f>
        <v>140</v>
      </c>
      <c r="J21" s="223">
        <v>1751500</v>
      </c>
      <c r="K21" s="65"/>
      <c r="L21" s="65"/>
      <c r="M21" s="65"/>
      <c r="N21" s="65"/>
      <c r="O21" s="47">
        <f>I21</f>
        <v>140</v>
      </c>
      <c r="P21" s="47">
        <f>O21</f>
        <v>140</v>
      </c>
      <c r="Q21" s="221">
        <v>140</v>
      </c>
      <c r="R21" s="221"/>
      <c r="S21" s="221"/>
    </row>
    <row r="22" spans="1:19" s="39" customFormat="1" ht="15.75" customHeight="1">
      <c r="A22" s="224" t="s">
        <v>113</v>
      </c>
      <c r="B22" s="57">
        <v>1</v>
      </c>
      <c r="C22" s="57">
        <v>1</v>
      </c>
      <c r="D22" s="57">
        <v>0</v>
      </c>
      <c r="E22" s="57">
        <v>0</v>
      </c>
      <c r="F22" s="218">
        <v>38500</v>
      </c>
      <c r="G22" s="218"/>
      <c r="H22" s="218"/>
      <c r="I22" s="223">
        <f aca="true" t="shared" si="8" ref="I22:I29">ROUND(F22*B22/1000,1)</f>
        <v>38.5</v>
      </c>
      <c r="J22" s="223">
        <v>97949.28</v>
      </c>
      <c r="K22" s="65"/>
      <c r="L22" s="65"/>
      <c r="M22" s="65"/>
      <c r="N22" s="65"/>
      <c r="O22" s="47">
        <f aca="true" t="shared" si="9" ref="O22:O29">I22</f>
        <v>38.5</v>
      </c>
      <c r="P22" s="47">
        <f aca="true" t="shared" si="10" ref="P22:P29">O22</f>
        <v>38.5</v>
      </c>
      <c r="Q22" s="221">
        <v>38.5</v>
      </c>
      <c r="R22" s="221"/>
      <c r="S22" s="221"/>
    </row>
    <row r="23" spans="1:19" s="39" customFormat="1" ht="15.75" customHeight="1">
      <c r="A23" s="224" t="s">
        <v>109</v>
      </c>
      <c r="B23" s="57">
        <v>1</v>
      </c>
      <c r="C23" s="57">
        <v>1</v>
      </c>
      <c r="D23" s="57">
        <v>0</v>
      </c>
      <c r="E23" s="57">
        <v>0</v>
      </c>
      <c r="F23" s="218">
        <v>41700</v>
      </c>
      <c r="G23" s="218"/>
      <c r="H23" s="218"/>
      <c r="I23" s="223">
        <f t="shared" si="8"/>
        <v>41.7</v>
      </c>
      <c r="J23" s="223">
        <v>255000</v>
      </c>
      <c r="K23" s="65"/>
      <c r="L23" s="65"/>
      <c r="M23" s="65"/>
      <c r="N23" s="65"/>
      <c r="O23" s="47">
        <f t="shared" si="9"/>
        <v>41.7</v>
      </c>
      <c r="P23" s="47">
        <f t="shared" si="10"/>
        <v>41.7</v>
      </c>
      <c r="Q23" s="221">
        <v>41.7</v>
      </c>
      <c r="R23" s="221"/>
      <c r="S23" s="221"/>
    </row>
    <row r="24" spans="1:19" s="39" customFormat="1" ht="15.75" customHeight="1">
      <c r="A24" s="224" t="s">
        <v>116</v>
      </c>
      <c r="B24" s="57">
        <v>0</v>
      </c>
      <c r="C24" s="57">
        <v>0</v>
      </c>
      <c r="D24" s="57">
        <v>0</v>
      </c>
      <c r="E24" s="57">
        <v>0</v>
      </c>
      <c r="F24" s="218">
        <v>46700</v>
      </c>
      <c r="G24" s="218"/>
      <c r="H24" s="218"/>
      <c r="I24" s="223">
        <f t="shared" si="8"/>
        <v>0</v>
      </c>
      <c r="J24" s="223">
        <v>0</v>
      </c>
      <c r="K24" s="65"/>
      <c r="L24" s="65"/>
      <c r="M24" s="65"/>
      <c r="N24" s="65"/>
      <c r="O24" s="47">
        <f t="shared" si="9"/>
        <v>0</v>
      </c>
      <c r="P24" s="47">
        <f t="shared" si="10"/>
        <v>0</v>
      </c>
      <c r="Q24" s="221">
        <v>0</v>
      </c>
      <c r="R24" s="221"/>
      <c r="S24" s="221"/>
    </row>
    <row r="25" spans="1:19" s="39" customFormat="1" ht="15.75" customHeight="1">
      <c r="A25" s="224" t="s">
        <v>112</v>
      </c>
      <c r="B25" s="57">
        <v>0</v>
      </c>
      <c r="C25" s="57">
        <v>0</v>
      </c>
      <c r="D25" s="57">
        <v>0</v>
      </c>
      <c r="E25" s="57">
        <v>0</v>
      </c>
      <c r="F25" s="218">
        <v>35500</v>
      </c>
      <c r="G25" s="218"/>
      <c r="H25" s="218"/>
      <c r="I25" s="223">
        <f t="shared" si="8"/>
        <v>0</v>
      </c>
      <c r="J25" s="223">
        <v>0</v>
      </c>
      <c r="K25" s="65"/>
      <c r="L25" s="65"/>
      <c r="M25" s="65"/>
      <c r="N25" s="65"/>
      <c r="O25" s="47">
        <f t="shared" si="9"/>
        <v>0</v>
      </c>
      <c r="P25" s="47">
        <f t="shared" si="10"/>
        <v>0</v>
      </c>
      <c r="Q25" s="221">
        <v>0</v>
      </c>
      <c r="R25" s="221"/>
      <c r="S25" s="221"/>
    </row>
    <row r="26" spans="1:19" s="39" customFormat="1" ht="15.75" customHeight="1">
      <c r="A26" s="224" t="s">
        <v>117</v>
      </c>
      <c r="B26" s="57">
        <v>2</v>
      </c>
      <c r="C26" s="57">
        <v>1</v>
      </c>
      <c r="D26" s="57">
        <v>0</v>
      </c>
      <c r="E26" s="57">
        <v>1</v>
      </c>
      <c r="F26" s="218">
        <v>36900</v>
      </c>
      <c r="G26" s="218"/>
      <c r="H26" s="218"/>
      <c r="I26" s="223">
        <f t="shared" si="8"/>
        <v>73.8</v>
      </c>
      <c r="J26" s="223">
        <v>227600</v>
      </c>
      <c r="K26" s="65"/>
      <c r="L26" s="65"/>
      <c r="M26" s="65"/>
      <c r="N26" s="65"/>
      <c r="O26" s="47">
        <f t="shared" si="9"/>
        <v>73.8</v>
      </c>
      <c r="P26" s="47">
        <f t="shared" si="10"/>
        <v>73.8</v>
      </c>
      <c r="Q26" s="221">
        <v>73.8</v>
      </c>
      <c r="R26" s="221"/>
      <c r="S26" s="221"/>
    </row>
    <row r="27" spans="1:19" s="39" customFormat="1" ht="15.75" customHeight="1">
      <c r="A27" s="224" t="s">
        <v>118</v>
      </c>
      <c r="B27" s="57">
        <v>1</v>
      </c>
      <c r="C27" s="57">
        <v>1</v>
      </c>
      <c r="D27" s="57">
        <v>0</v>
      </c>
      <c r="E27" s="57">
        <v>0</v>
      </c>
      <c r="F27" s="218">
        <v>35700</v>
      </c>
      <c r="G27" s="218"/>
      <c r="H27" s="218"/>
      <c r="I27" s="223">
        <f t="shared" si="8"/>
        <v>35.7</v>
      </c>
      <c r="J27" s="223">
        <v>202490</v>
      </c>
      <c r="K27" s="65"/>
      <c r="L27" s="65"/>
      <c r="M27" s="65"/>
      <c r="N27" s="65"/>
      <c r="O27" s="47">
        <f t="shared" si="9"/>
        <v>35.7</v>
      </c>
      <c r="P27" s="47">
        <f t="shared" si="10"/>
        <v>35.7</v>
      </c>
      <c r="Q27" s="221">
        <v>35.7</v>
      </c>
      <c r="R27" s="221"/>
      <c r="S27" s="221"/>
    </row>
    <row r="28" spans="1:19" s="39" customFormat="1" ht="15.75" customHeight="1">
      <c r="A28" s="224" t="s">
        <v>119</v>
      </c>
      <c r="B28" s="57">
        <v>1</v>
      </c>
      <c r="C28" s="57">
        <v>1</v>
      </c>
      <c r="D28" s="57">
        <v>0</v>
      </c>
      <c r="E28" s="57">
        <v>0</v>
      </c>
      <c r="F28" s="218">
        <v>34700</v>
      </c>
      <c r="G28" s="218"/>
      <c r="H28" s="218"/>
      <c r="I28" s="223">
        <f t="shared" si="8"/>
        <v>34.7</v>
      </c>
      <c r="J28" s="223">
        <v>206412.5</v>
      </c>
      <c r="K28" s="65"/>
      <c r="L28" s="65"/>
      <c r="M28" s="65"/>
      <c r="N28" s="65"/>
      <c r="O28" s="47">
        <f t="shared" si="9"/>
        <v>34.7</v>
      </c>
      <c r="P28" s="47">
        <f t="shared" si="10"/>
        <v>34.7</v>
      </c>
      <c r="Q28" s="221">
        <v>34.7</v>
      </c>
      <c r="R28" s="221"/>
      <c r="S28" s="221"/>
    </row>
    <row r="29" spans="1:19" s="39" customFormat="1" ht="15.75" customHeight="1">
      <c r="A29" s="224" t="s">
        <v>120</v>
      </c>
      <c r="B29" s="57">
        <v>1</v>
      </c>
      <c r="C29" s="57">
        <v>0</v>
      </c>
      <c r="D29" s="57">
        <v>0</v>
      </c>
      <c r="E29" s="57">
        <v>1</v>
      </c>
      <c r="F29" s="218">
        <v>36500</v>
      </c>
      <c r="G29" s="218"/>
      <c r="H29" s="218"/>
      <c r="I29" s="223">
        <f t="shared" si="8"/>
        <v>36.5</v>
      </c>
      <c r="J29" s="223">
        <v>210000</v>
      </c>
      <c r="K29" s="65"/>
      <c r="L29" s="65"/>
      <c r="M29" s="65"/>
      <c r="N29" s="65"/>
      <c r="O29" s="47">
        <f t="shared" si="9"/>
        <v>36.5</v>
      </c>
      <c r="P29" s="47">
        <f t="shared" si="10"/>
        <v>36.5</v>
      </c>
      <c r="Q29" s="221">
        <v>36.5</v>
      </c>
      <c r="R29" s="221"/>
      <c r="S29" s="221"/>
    </row>
    <row r="30" spans="1:19" s="39" customFormat="1" ht="15.75" customHeight="1">
      <c r="A30" s="216" t="s">
        <v>239</v>
      </c>
      <c r="B30" s="49" t="s">
        <v>236</v>
      </c>
      <c r="C30" s="49"/>
      <c r="D30" s="49"/>
      <c r="E30" s="49"/>
      <c r="F30" s="49" t="s">
        <v>240</v>
      </c>
      <c r="G30" s="49"/>
      <c r="H30" s="49" t="s">
        <v>241</v>
      </c>
      <c r="I30" s="222"/>
      <c r="J30" s="222"/>
      <c r="K30" s="65"/>
      <c r="L30" s="65"/>
      <c r="M30" s="65"/>
      <c r="N30" s="65"/>
      <c r="O30" s="65"/>
      <c r="P30" s="65"/>
      <c r="Q30" s="222"/>
      <c r="R30" s="222"/>
      <c r="S30" s="222"/>
    </row>
    <row r="31" spans="1:19" s="39" customFormat="1" ht="65.25" customHeight="1">
      <c r="A31" s="220" t="s">
        <v>242</v>
      </c>
      <c r="B31" s="49">
        <f>SUM(B32:B40)</f>
        <v>6</v>
      </c>
      <c r="C31" s="49">
        <f>SUM(C32:C40)</f>
        <v>1</v>
      </c>
      <c r="D31" s="49">
        <f>SUM(D32:D40)</f>
        <v>0</v>
      </c>
      <c r="E31" s="49">
        <f>SUM(E32:E40)</f>
        <v>5</v>
      </c>
      <c r="F31" s="49"/>
      <c r="G31" s="49"/>
      <c r="H31" s="49"/>
      <c r="I31" s="222">
        <f aca="true" t="shared" si="11" ref="I31:P31">SUM(I32:I40)</f>
        <v>225.7</v>
      </c>
      <c r="J31" s="222">
        <f t="shared" si="11"/>
        <v>1788375.12</v>
      </c>
      <c r="K31" s="217">
        <f t="shared" si="11"/>
        <v>0</v>
      </c>
      <c r="L31" s="217">
        <f t="shared" si="11"/>
        <v>0</v>
      </c>
      <c r="M31" s="217">
        <f t="shared" si="11"/>
        <v>0</v>
      </c>
      <c r="N31" s="217">
        <f t="shared" si="11"/>
        <v>0</v>
      </c>
      <c r="O31" s="217">
        <f t="shared" si="11"/>
        <v>225.7</v>
      </c>
      <c r="P31" s="217">
        <f t="shared" si="11"/>
        <v>225.7</v>
      </c>
      <c r="Q31" s="221">
        <f>J31/1000</f>
        <v>1788.3751200000002</v>
      </c>
      <c r="R31" s="221"/>
      <c r="S31" s="221"/>
    </row>
    <row r="32" spans="1:19" s="39" customFormat="1" ht="15.75" customHeight="1">
      <c r="A32" s="224" t="s">
        <v>14</v>
      </c>
      <c r="B32" s="49">
        <v>6</v>
      </c>
      <c r="C32" s="49">
        <v>1</v>
      </c>
      <c r="D32" s="49"/>
      <c r="E32" s="49">
        <v>5</v>
      </c>
      <c r="F32" s="218">
        <v>29860</v>
      </c>
      <c r="G32" s="49"/>
      <c r="H32" s="49">
        <v>1.26</v>
      </c>
      <c r="I32" s="222">
        <f>ROUND(H32*F32*B32/1000,1)</f>
        <v>225.7</v>
      </c>
      <c r="J32" s="222">
        <v>1788375.12</v>
      </c>
      <c r="K32" s="65"/>
      <c r="L32" s="65"/>
      <c r="M32" s="65"/>
      <c r="N32" s="65"/>
      <c r="O32" s="47">
        <f>I32</f>
        <v>225.7</v>
      </c>
      <c r="P32" s="47">
        <f>O32</f>
        <v>225.7</v>
      </c>
      <c r="Q32" s="221">
        <v>225.7</v>
      </c>
      <c r="R32" s="221"/>
      <c r="S32" s="221"/>
    </row>
    <row r="33" spans="1:19" s="39" customFormat="1" ht="15.75" customHeight="1">
      <c r="A33" s="224" t="s">
        <v>113</v>
      </c>
      <c r="B33" s="49"/>
      <c r="C33" s="49"/>
      <c r="D33" s="49"/>
      <c r="E33" s="49"/>
      <c r="F33" s="218"/>
      <c r="G33" s="49"/>
      <c r="H33" s="49"/>
      <c r="I33" s="222"/>
      <c r="J33" s="222"/>
      <c r="K33" s="65"/>
      <c r="L33" s="65"/>
      <c r="M33" s="65"/>
      <c r="N33" s="65"/>
      <c r="O33" s="47"/>
      <c r="P33" s="47"/>
      <c r="Q33" s="221"/>
      <c r="R33" s="221"/>
      <c r="S33" s="221"/>
    </row>
    <row r="34" spans="1:19" s="39" customFormat="1" ht="15.75" customHeight="1">
      <c r="A34" s="224" t="s">
        <v>109</v>
      </c>
      <c r="B34" s="49"/>
      <c r="C34" s="49"/>
      <c r="D34" s="49"/>
      <c r="E34" s="49"/>
      <c r="F34" s="218"/>
      <c r="G34" s="49"/>
      <c r="H34" s="49"/>
      <c r="I34" s="222"/>
      <c r="J34" s="222"/>
      <c r="K34" s="65"/>
      <c r="L34" s="65"/>
      <c r="M34" s="65"/>
      <c r="N34" s="65"/>
      <c r="O34" s="47"/>
      <c r="P34" s="47"/>
      <c r="Q34" s="221"/>
      <c r="R34" s="221"/>
      <c r="S34" s="221"/>
    </row>
    <row r="35" spans="1:19" s="39" customFormat="1" ht="15.75" customHeight="1">
      <c r="A35" s="224" t="s">
        <v>116</v>
      </c>
      <c r="B35" s="49"/>
      <c r="C35" s="49"/>
      <c r="D35" s="49"/>
      <c r="E35" s="49"/>
      <c r="F35" s="218"/>
      <c r="G35" s="49"/>
      <c r="H35" s="49"/>
      <c r="I35" s="222"/>
      <c r="J35" s="222"/>
      <c r="K35" s="65"/>
      <c r="L35" s="65"/>
      <c r="M35" s="65"/>
      <c r="N35" s="65"/>
      <c r="O35" s="47"/>
      <c r="P35" s="47"/>
      <c r="Q35" s="221"/>
      <c r="R35" s="221"/>
      <c r="S35" s="221"/>
    </row>
    <row r="36" spans="1:19" s="39" customFormat="1" ht="15.75" customHeight="1">
      <c r="A36" s="224" t="s">
        <v>112</v>
      </c>
      <c r="B36" s="49"/>
      <c r="C36" s="49"/>
      <c r="D36" s="49"/>
      <c r="E36" s="49"/>
      <c r="F36" s="218"/>
      <c r="G36" s="49"/>
      <c r="H36" s="49"/>
      <c r="I36" s="222"/>
      <c r="J36" s="222"/>
      <c r="K36" s="65"/>
      <c r="L36" s="65"/>
      <c r="M36" s="65"/>
      <c r="N36" s="65"/>
      <c r="O36" s="47"/>
      <c r="P36" s="47"/>
      <c r="Q36" s="221"/>
      <c r="R36" s="221"/>
      <c r="S36" s="221"/>
    </row>
    <row r="37" spans="1:19" s="39" customFormat="1" ht="15.75" customHeight="1">
      <c r="A37" s="224" t="s">
        <v>117</v>
      </c>
      <c r="B37" s="49"/>
      <c r="C37" s="49"/>
      <c r="D37" s="49"/>
      <c r="E37" s="49"/>
      <c r="F37" s="218"/>
      <c r="G37" s="49"/>
      <c r="H37" s="49"/>
      <c r="I37" s="222"/>
      <c r="J37" s="222"/>
      <c r="K37" s="65"/>
      <c r="L37" s="65"/>
      <c r="M37" s="65"/>
      <c r="N37" s="65"/>
      <c r="O37" s="47"/>
      <c r="P37" s="47"/>
      <c r="Q37" s="221"/>
      <c r="R37" s="221"/>
      <c r="S37" s="221"/>
    </row>
    <row r="38" spans="1:19" s="39" customFormat="1" ht="15.75" customHeight="1">
      <c r="A38" s="224" t="s">
        <v>118</v>
      </c>
      <c r="B38" s="49"/>
      <c r="C38" s="49"/>
      <c r="D38" s="49"/>
      <c r="E38" s="49"/>
      <c r="F38" s="218"/>
      <c r="G38" s="49"/>
      <c r="H38" s="49"/>
      <c r="I38" s="222"/>
      <c r="J38" s="222"/>
      <c r="K38" s="65"/>
      <c r="L38" s="65"/>
      <c r="M38" s="65"/>
      <c r="N38" s="65"/>
      <c r="O38" s="47"/>
      <c r="P38" s="47"/>
      <c r="Q38" s="221"/>
      <c r="R38" s="221"/>
      <c r="S38" s="221"/>
    </row>
    <row r="39" spans="1:19" s="39" customFormat="1" ht="15.75" customHeight="1">
      <c r="A39" s="224" t="s">
        <v>119</v>
      </c>
      <c r="B39" s="49"/>
      <c r="C39" s="49"/>
      <c r="D39" s="49"/>
      <c r="E39" s="49"/>
      <c r="F39" s="218"/>
      <c r="G39" s="49"/>
      <c r="H39" s="49"/>
      <c r="I39" s="222"/>
      <c r="J39" s="222"/>
      <c r="K39" s="65"/>
      <c r="L39" s="65"/>
      <c r="M39" s="65"/>
      <c r="N39" s="65"/>
      <c r="O39" s="47"/>
      <c r="P39" s="47"/>
      <c r="Q39" s="221"/>
      <c r="R39" s="221"/>
      <c r="S39" s="221"/>
    </row>
    <row r="40" spans="1:19" s="39" customFormat="1" ht="15.75" customHeight="1">
      <c r="A40" s="224" t="s">
        <v>120</v>
      </c>
      <c r="B40" s="49"/>
      <c r="C40" s="49"/>
      <c r="D40" s="49"/>
      <c r="E40" s="49"/>
      <c r="F40" s="218"/>
      <c r="G40" s="49"/>
      <c r="H40" s="49"/>
      <c r="I40" s="222"/>
      <c r="J40" s="222"/>
      <c r="K40" s="65"/>
      <c r="L40" s="65"/>
      <c r="M40" s="65"/>
      <c r="N40" s="65"/>
      <c r="O40" s="47"/>
      <c r="P40" s="47"/>
      <c r="Q40" s="221"/>
      <c r="R40" s="221"/>
      <c r="S40" s="221"/>
    </row>
    <row r="41" spans="1:19" s="39" customFormat="1" ht="27.75" customHeight="1">
      <c r="A41" s="216" t="s">
        <v>243</v>
      </c>
      <c r="B41" s="49" t="s">
        <v>244</v>
      </c>
      <c r="C41" s="49"/>
      <c r="D41" s="49"/>
      <c r="E41" s="49"/>
      <c r="F41" s="49" t="s">
        <v>245</v>
      </c>
      <c r="G41" s="49" t="s">
        <v>246</v>
      </c>
      <c r="H41" s="49" t="s">
        <v>241</v>
      </c>
      <c r="I41" s="222"/>
      <c r="J41" s="222"/>
      <c r="K41" s="65"/>
      <c r="L41" s="65"/>
      <c r="M41" s="65"/>
      <c r="N41" s="65"/>
      <c r="O41" s="65"/>
      <c r="P41" s="65"/>
      <c r="Q41" s="222"/>
      <c r="R41" s="222"/>
      <c r="S41" s="222"/>
    </row>
    <row r="42" spans="1:19" s="39" customFormat="1" ht="42.75" customHeight="1">
      <c r="A42" s="220" t="s">
        <v>247</v>
      </c>
      <c r="B42" s="49">
        <f>B53+B63+B73</f>
        <v>1653</v>
      </c>
      <c r="C42" s="49">
        <f>C53+C63+C73</f>
        <v>525</v>
      </c>
      <c r="D42" s="49">
        <f>D53+D63+D73</f>
        <v>649</v>
      </c>
      <c r="E42" s="49">
        <f>E53+E63+E73</f>
        <v>479</v>
      </c>
      <c r="F42" s="49"/>
      <c r="G42" s="49"/>
      <c r="H42" s="49"/>
      <c r="I42" s="222">
        <f aca="true" t="shared" si="12" ref="I42:P42">I53+I63+I73</f>
        <v>32254.100000000002</v>
      </c>
      <c r="J42" s="222">
        <f t="shared" si="12"/>
        <v>34285383.720000006</v>
      </c>
      <c r="K42" s="219">
        <f t="shared" si="12"/>
        <v>0</v>
      </c>
      <c r="L42" s="219">
        <f t="shared" si="12"/>
        <v>0</v>
      </c>
      <c r="M42" s="219">
        <f t="shared" si="12"/>
        <v>0</v>
      </c>
      <c r="N42" s="219">
        <f t="shared" si="12"/>
        <v>0</v>
      </c>
      <c r="O42" s="219">
        <f t="shared" si="12"/>
        <v>32254.100000000002</v>
      </c>
      <c r="P42" s="219">
        <f t="shared" si="12"/>
        <v>32254.100000000002</v>
      </c>
      <c r="Q42" s="221">
        <f>J42/1000</f>
        <v>34285.383720000005</v>
      </c>
      <c r="R42" s="221"/>
      <c r="S42" s="221"/>
    </row>
    <row r="43" spans="1:19" s="39" customFormat="1" ht="18.75" customHeight="1">
      <c r="A43" s="220" t="s">
        <v>106</v>
      </c>
      <c r="B43" s="49">
        <f>SUM(B44:B52)</f>
        <v>1653</v>
      </c>
      <c r="C43" s="49">
        <f>SUM(C44:C52)</f>
        <v>525</v>
      </c>
      <c r="D43" s="49">
        <f>SUM(D44:D52)</f>
        <v>649</v>
      </c>
      <c r="E43" s="49">
        <f>SUM(E44:E52)</f>
        <v>479</v>
      </c>
      <c r="F43" s="49"/>
      <c r="G43" s="49"/>
      <c r="H43" s="49"/>
      <c r="I43" s="222">
        <f>SUM(I44:I52)</f>
        <v>32254.1</v>
      </c>
      <c r="J43" s="222">
        <f aca="true" t="shared" si="13" ref="J43:P43">SUM(J44:J52)</f>
        <v>0</v>
      </c>
      <c r="K43" s="219">
        <f t="shared" si="13"/>
        <v>0</v>
      </c>
      <c r="L43" s="219">
        <f t="shared" si="13"/>
        <v>0</v>
      </c>
      <c r="M43" s="219">
        <f t="shared" si="13"/>
        <v>0</v>
      </c>
      <c r="N43" s="219">
        <f t="shared" si="13"/>
        <v>0</v>
      </c>
      <c r="O43" s="219">
        <f>SUM(O44:O52)</f>
        <v>32254.1</v>
      </c>
      <c r="P43" s="219">
        <f t="shared" si="13"/>
        <v>32254.1</v>
      </c>
      <c r="Q43" s="221"/>
      <c r="R43" s="221"/>
      <c r="S43" s="221"/>
    </row>
    <row r="44" spans="1:19" s="39" customFormat="1" ht="17.25" customHeight="1">
      <c r="A44" s="224" t="s">
        <v>14</v>
      </c>
      <c r="B44" s="49">
        <f>C44+D44+E44</f>
        <v>976</v>
      </c>
      <c r="C44" s="49">
        <f aca="true" t="shared" si="14" ref="C44:E47">C54+C64+C74</f>
        <v>369</v>
      </c>
      <c r="D44" s="49">
        <f t="shared" si="14"/>
        <v>524</v>
      </c>
      <c r="E44" s="49">
        <f t="shared" si="14"/>
        <v>83</v>
      </c>
      <c r="F44" s="49"/>
      <c r="G44" s="49"/>
      <c r="H44" s="49"/>
      <c r="I44" s="222">
        <f aca="true" t="shared" si="15" ref="I44:I52">I54+I64+I74</f>
        <v>19873.699999999997</v>
      </c>
      <c r="J44" s="222"/>
      <c r="K44" s="65"/>
      <c r="L44" s="65"/>
      <c r="M44" s="65"/>
      <c r="N44" s="65"/>
      <c r="O44" s="47">
        <f>I44</f>
        <v>19873.699999999997</v>
      </c>
      <c r="P44" s="47">
        <f>O44</f>
        <v>19873.699999999997</v>
      </c>
      <c r="Q44" s="221"/>
      <c r="R44" s="221"/>
      <c r="S44" s="221"/>
    </row>
    <row r="45" spans="1:19" s="39" customFormat="1" ht="17.25" customHeight="1">
      <c r="A45" s="224" t="s">
        <v>113</v>
      </c>
      <c r="B45" s="49">
        <f aca="true" t="shared" si="16" ref="B45:B52">C45+D45+E45</f>
        <v>141</v>
      </c>
      <c r="C45" s="49">
        <f t="shared" si="14"/>
        <v>30</v>
      </c>
      <c r="D45" s="49">
        <f t="shared" si="14"/>
        <v>23</v>
      </c>
      <c r="E45" s="49">
        <f t="shared" si="14"/>
        <v>88</v>
      </c>
      <c r="F45" s="49"/>
      <c r="G45" s="49"/>
      <c r="H45" s="49"/>
      <c r="I45" s="222">
        <f t="shared" si="15"/>
        <v>2642.1000000000004</v>
      </c>
      <c r="J45" s="222"/>
      <c r="K45" s="65"/>
      <c r="L45" s="65"/>
      <c r="M45" s="65"/>
      <c r="N45" s="65"/>
      <c r="O45" s="47">
        <f aca="true" t="shared" si="17" ref="O45:O52">I45</f>
        <v>2642.1000000000004</v>
      </c>
      <c r="P45" s="47">
        <f aca="true" t="shared" si="18" ref="P45:P52">O45</f>
        <v>2642.1000000000004</v>
      </c>
      <c r="Q45" s="221"/>
      <c r="R45" s="221"/>
      <c r="S45" s="221"/>
    </row>
    <row r="46" spans="1:19" s="39" customFormat="1" ht="17.25" customHeight="1">
      <c r="A46" s="224" t="s">
        <v>109</v>
      </c>
      <c r="B46" s="49">
        <f t="shared" si="16"/>
        <v>81</v>
      </c>
      <c r="C46" s="49">
        <f t="shared" si="14"/>
        <v>24</v>
      </c>
      <c r="D46" s="49">
        <f t="shared" si="14"/>
        <v>15</v>
      </c>
      <c r="E46" s="49">
        <f t="shared" si="14"/>
        <v>42</v>
      </c>
      <c r="F46" s="49"/>
      <c r="G46" s="49"/>
      <c r="H46" s="49"/>
      <c r="I46" s="222">
        <f t="shared" si="15"/>
        <v>1330.3</v>
      </c>
      <c r="J46" s="222"/>
      <c r="K46" s="65"/>
      <c r="L46" s="65"/>
      <c r="M46" s="65"/>
      <c r="N46" s="65"/>
      <c r="O46" s="47">
        <f t="shared" si="17"/>
        <v>1330.3</v>
      </c>
      <c r="P46" s="47">
        <f t="shared" si="18"/>
        <v>1330.3</v>
      </c>
      <c r="Q46" s="221"/>
      <c r="R46" s="221"/>
      <c r="S46" s="221"/>
    </row>
    <row r="47" spans="1:19" s="39" customFormat="1" ht="17.25" customHeight="1">
      <c r="A47" s="224" t="s">
        <v>116</v>
      </c>
      <c r="B47" s="49">
        <f t="shared" si="16"/>
        <v>28</v>
      </c>
      <c r="C47" s="49">
        <f t="shared" si="14"/>
        <v>5</v>
      </c>
      <c r="D47" s="49">
        <f t="shared" si="14"/>
        <v>4</v>
      </c>
      <c r="E47" s="49">
        <f t="shared" si="14"/>
        <v>19</v>
      </c>
      <c r="F47" s="49"/>
      <c r="G47" s="49"/>
      <c r="H47" s="49"/>
      <c r="I47" s="222">
        <f t="shared" si="15"/>
        <v>555.9</v>
      </c>
      <c r="J47" s="222"/>
      <c r="K47" s="65"/>
      <c r="L47" s="65"/>
      <c r="M47" s="65"/>
      <c r="N47" s="65"/>
      <c r="O47" s="47">
        <f t="shared" si="17"/>
        <v>555.9</v>
      </c>
      <c r="P47" s="47">
        <f t="shared" si="18"/>
        <v>555.9</v>
      </c>
      <c r="Q47" s="221"/>
      <c r="R47" s="221"/>
      <c r="S47" s="221"/>
    </row>
    <row r="48" spans="1:19" s="39" customFormat="1" ht="17.25" customHeight="1">
      <c r="A48" s="224" t="s">
        <v>112</v>
      </c>
      <c r="B48" s="49">
        <f t="shared" si="16"/>
        <v>58</v>
      </c>
      <c r="C48" s="49">
        <f aca="true" t="shared" si="19" ref="C48:E52">C58+C68+C78</f>
        <v>19</v>
      </c>
      <c r="D48" s="49">
        <f t="shared" si="19"/>
        <v>13</v>
      </c>
      <c r="E48" s="49">
        <f t="shared" si="19"/>
        <v>26</v>
      </c>
      <c r="F48" s="49"/>
      <c r="G48" s="49"/>
      <c r="H48" s="49"/>
      <c r="I48" s="222">
        <f t="shared" si="15"/>
        <v>1100.2000000000003</v>
      </c>
      <c r="J48" s="222"/>
      <c r="K48" s="65"/>
      <c r="L48" s="65"/>
      <c r="M48" s="65"/>
      <c r="N48" s="65"/>
      <c r="O48" s="47">
        <f t="shared" si="17"/>
        <v>1100.2000000000003</v>
      </c>
      <c r="P48" s="47">
        <f t="shared" si="18"/>
        <v>1100.2000000000003</v>
      </c>
      <c r="Q48" s="221"/>
      <c r="R48" s="221"/>
      <c r="S48" s="221"/>
    </row>
    <row r="49" spans="1:19" s="39" customFormat="1" ht="17.25" customHeight="1">
      <c r="A49" s="224" t="s">
        <v>117</v>
      </c>
      <c r="B49" s="49">
        <f t="shared" si="16"/>
        <v>90</v>
      </c>
      <c r="C49" s="49">
        <f t="shared" si="19"/>
        <v>13</v>
      </c>
      <c r="D49" s="49">
        <f t="shared" si="19"/>
        <v>18</v>
      </c>
      <c r="E49" s="49">
        <f t="shared" si="19"/>
        <v>59</v>
      </c>
      <c r="F49" s="49"/>
      <c r="G49" s="49"/>
      <c r="H49" s="49"/>
      <c r="I49" s="222">
        <f t="shared" si="15"/>
        <v>1688.4</v>
      </c>
      <c r="J49" s="222"/>
      <c r="K49" s="65"/>
      <c r="L49" s="65"/>
      <c r="M49" s="65"/>
      <c r="N49" s="65"/>
      <c r="O49" s="47">
        <f t="shared" si="17"/>
        <v>1688.4</v>
      </c>
      <c r="P49" s="47">
        <f t="shared" si="18"/>
        <v>1688.4</v>
      </c>
      <c r="Q49" s="221"/>
      <c r="R49" s="221"/>
      <c r="S49" s="221"/>
    </row>
    <row r="50" spans="1:19" s="39" customFormat="1" ht="17.25" customHeight="1">
      <c r="A50" s="224" t="s">
        <v>118</v>
      </c>
      <c r="B50" s="49">
        <f t="shared" si="16"/>
        <v>55</v>
      </c>
      <c r="C50" s="49">
        <f t="shared" si="19"/>
        <v>8</v>
      </c>
      <c r="D50" s="49">
        <f t="shared" si="19"/>
        <v>7</v>
      </c>
      <c r="E50" s="49">
        <f t="shared" si="19"/>
        <v>40</v>
      </c>
      <c r="F50" s="49"/>
      <c r="G50" s="49"/>
      <c r="H50" s="49"/>
      <c r="I50" s="222">
        <f t="shared" si="15"/>
        <v>984.2</v>
      </c>
      <c r="J50" s="222"/>
      <c r="K50" s="65"/>
      <c r="L50" s="65"/>
      <c r="M50" s="65"/>
      <c r="N50" s="65"/>
      <c r="O50" s="47">
        <f t="shared" si="17"/>
        <v>984.2</v>
      </c>
      <c r="P50" s="47">
        <f t="shared" si="18"/>
        <v>984.2</v>
      </c>
      <c r="Q50" s="221"/>
      <c r="R50" s="221"/>
      <c r="S50" s="221"/>
    </row>
    <row r="51" spans="1:19" s="39" customFormat="1" ht="17.25" customHeight="1">
      <c r="A51" s="224" t="s">
        <v>119</v>
      </c>
      <c r="B51" s="49">
        <f t="shared" si="16"/>
        <v>94</v>
      </c>
      <c r="C51" s="49">
        <f t="shared" si="19"/>
        <v>29</v>
      </c>
      <c r="D51" s="49">
        <f t="shared" si="19"/>
        <v>22</v>
      </c>
      <c r="E51" s="49">
        <f t="shared" si="19"/>
        <v>43</v>
      </c>
      <c r="F51" s="49"/>
      <c r="G51" s="49"/>
      <c r="H51" s="49"/>
      <c r="I51" s="222">
        <f t="shared" si="15"/>
        <v>1704.5</v>
      </c>
      <c r="J51" s="222"/>
      <c r="K51" s="65"/>
      <c r="L51" s="65"/>
      <c r="M51" s="65"/>
      <c r="N51" s="65"/>
      <c r="O51" s="47">
        <f t="shared" si="17"/>
        <v>1704.5</v>
      </c>
      <c r="P51" s="47">
        <f t="shared" si="18"/>
        <v>1704.5</v>
      </c>
      <c r="Q51" s="221"/>
      <c r="R51" s="221"/>
      <c r="S51" s="221"/>
    </row>
    <row r="52" spans="1:19" s="39" customFormat="1" ht="17.25" customHeight="1">
      <c r="A52" s="224" t="s">
        <v>120</v>
      </c>
      <c r="B52" s="49">
        <f t="shared" si="16"/>
        <v>130</v>
      </c>
      <c r="C52" s="49">
        <f t="shared" si="19"/>
        <v>28</v>
      </c>
      <c r="D52" s="49">
        <f t="shared" si="19"/>
        <v>23</v>
      </c>
      <c r="E52" s="49">
        <f t="shared" si="19"/>
        <v>79</v>
      </c>
      <c r="F52" s="49"/>
      <c r="G52" s="49"/>
      <c r="H52" s="49"/>
      <c r="I52" s="222">
        <f t="shared" si="15"/>
        <v>2374.8</v>
      </c>
      <c r="J52" s="222"/>
      <c r="K52" s="65"/>
      <c r="L52" s="65"/>
      <c r="M52" s="65"/>
      <c r="N52" s="65"/>
      <c r="O52" s="47">
        <f t="shared" si="17"/>
        <v>2374.8</v>
      </c>
      <c r="P52" s="47">
        <f t="shared" si="18"/>
        <v>2374.8</v>
      </c>
      <c r="Q52" s="222"/>
      <c r="R52" s="222"/>
      <c r="S52" s="222"/>
    </row>
    <row r="53" spans="1:19" s="39" customFormat="1" ht="17.25" customHeight="1">
      <c r="A53" s="220" t="s">
        <v>248</v>
      </c>
      <c r="B53" s="49">
        <f>SUM(B54:B62)</f>
        <v>653</v>
      </c>
      <c r="C53" s="49">
        <f>SUM(C54:C62)</f>
        <v>181</v>
      </c>
      <c r="D53" s="49">
        <f>SUM(D54:D62)</f>
        <v>307</v>
      </c>
      <c r="E53" s="49">
        <f>SUM(E54:E62)</f>
        <v>165</v>
      </c>
      <c r="F53" s="49"/>
      <c r="G53" s="49"/>
      <c r="H53" s="49"/>
      <c r="I53" s="222">
        <f aca="true" t="shared" si="20" ref="I53:P53">SUM(I54:I62)</f>
        <v>16774</v>
      </c>
      <c r="J53" s="222">
        <f t="shared" si="20"/>
        <v>17235654.66</v>
      </c>
      <c r="K53" s="217">
        <f t="shared" si="20"/>
        <v>0</v>
      </c>
      <c r="L53" s="217">
        <f t="shared" si="20"/>
        <v>0</v>
      </c>
      <c r="M53" s="217">
        <f t="shared" si="20"/>
        <v>0</v>
      </c>
      <c r="N53" s="217">
        <f t="shared" si="20"/>
        <v>0</v>
      </c>
      <c r="O53" s="217">
        <f t="shared" si="20"/>
        <v>16774</v>
      </c>
      <c r="P53" s="217">
        <f t="shared" si="20"/>
        <v>16774</v>
      </c>
      <c r="Q53" s="221">
        <v>16679.6</v>
      </c>
      <c r="R53" s="221"/>
      <c r="S53" s="221"/>
    </row>
    <row r="54" spans="1:19" s="39" customFormat="1" ht="18" customHeight="1">
      <c r="A54" s="224" t="s">
        <v>14</v>
      </c>
      <c r="B54" s="49">
        <v>476</v>
      </c>
      <c r="C54" s="49">
        <v>151</v>
      </c>
      <c r="D54" s="49">
        <v>273</v>
      </c>
      <c r="E54" s="49">
        <v>52</v>
      </c>
      <c r="F54" s="49">
        <v>675</v>
      </c>
      <c r="G54" s="49">
        <v>2.5</v>
      </c>
      <c r="H54" s="49">
        <v>1.26</v>
      </c>
      <c r="I54" s="222">
        <f>ROUND(B54*F54*G54*H54*12/1000,1)</f>
        <v>12145.1</v>
      </c>
      <c r="J54" s="222">
        <v>12549978</v>
      </c>
      <c r="K54" s="65"/>
      <c r="L54" s="65"/>
      <c r="M54" s="65"/>
      <c r="N54" s="65"/>
      <c r="O54" s="47">
        <f>I54</f>
        <v>12145.1</v>
      </c>
      <c r="P54" s="47">
        <f>O54</f>
        <v>12145.1</v>
      </c>
      <c r="Q54" s="221">
        <v>12145.1</v>
      </c>
      <c r="R54" s="221"/>
      <c r="S54" s="221"/>
    </row>
    <row r="55" spans="1:19" s="39" customFormat="1" ht="18" customHeight="1">
      <c r="A55" s="224" t="s">
        <v>113</v>
      </c>
      <c r="B55" s="49">
        <f aca="true" t="shared" si="21" ref="B55:B62">C55+D55+E55</f>
        <v>48</v>
      </c>
      <c r="C55" s="49">
        <v>9</v>
      </c>
      <c r="D55" s="49">
        <f>2+1+7</f>
        <v>10</v>
      </c>
      <c r="E55" s="49">
        <v>29</v>
      </c>
      <c r="F55" s="49">
        <v>675</v>
      </c>
      <c r="G55" s="49">
        <v>2.5</v>
      </c>
      <c r="H55" s="49">
        <v>1.26</v>
      </c>
      <c r="I55" s="222">
        <f aca="true" t="shared" si="22" ref="I55:I62">ROUND(B55*F55*G55*H55*12/1000,1)</f>
        <v>1224.7</v>
      </c>
      <c r="J55" s="222">
        <v>1265544</v>
      </c>
      <c r="K55" s="65"/>
      <c r="L55" s="65"/>
      <c r="M55" s="65"/>
      <c r="N55" s="65"/>
      <c r="O55" s="47">
        <f aca="true" t="shared" si="23" ref="O55:O62">I55</f>
        <v>1224.7</v>
      </c>
      <c r="P55" s="47">
        <f aca="true" t="shared" si="24" ref="P55:P62">O55</f>
        <v>1224.7</v>
      </c>
      <c r="Q55" s="221">
        <v>1224.7</v>
      </c>
      <c r="R55" s="221"/>
      <c r="S55" s="221"/>
    </row>
    <row r="56" spans="1:19" s="39" customFormat="1" ht="18" customHeight="1">
      <c r="A56" s="224" t="s">
        <v>109</v>
      </c>
      <c r="B56" s="49">
        <f t="shared" si="21"/>
        <v>9</v>
      </c>
      <c r="C56" s="49">
        <v>1</v>
      </c>
      <c r="D56" s="49">
        <v>1</v>
      </c>
      <c r="E56" s="49">
        <v>7</v>
      </c>
      <c r="F56" s="49">
        <v>675</v>
      </c>
      <c r="G56" s="49">
        <v>2.5</v>
      </c>
      <c r="H56" s="49">
        <v>1.26</v>
      </c>
      <c r="I56" s="222">
        <f t="shared" si="22"/>
        <v>229.6</v>
      </c>
      <c r="J56" s="222">
        <v>237289.5</v>
      </c>
      <c r="K56" s="65"/>
      <c r="L56" s="65"/>
      <c r="M56" s="65"/>
      <c r="N56" s="65"/>
      <c r="O56" s="47">
        <f t="shared" si="23"/>
        <v>229.6</v>
      </c>
      <c r="P56" s="47">
        <f t="shared" si="24"/>
        <v>229.6</v>
      </c>
      <c r="Q56" s="221">
        <v>229.6</v>
      </c>
      <c r="R56" s="221"/>
      <c r="S56" s="221"/>
    </row>
    <row r="57" spans="1:19" s="39" customFormat="1" ht="18" customHeight="1">
      <c r="A57" s="224" t="s">
        <v>116</v>
      </c>
      <c r="B57" s="49">
        <f t="shared" si="21"/>
        <v>9</v>
      </c>
      <c r="C57" s="49">
        <v>1</v>
      </c>
      <c r="D57" s="49">
        <v>4</v>
      </c>
      <c r="E57" s="49">
        <v>4</v>
      </c>
      <c r="F57" s="49">
        <v>675</v>
      </c>
      <c r="G57" s="49">
        <v>2.7</v>
      </c>
      <c r="H57" s="49">
        <v>1.26</v>
      </c>
      <c r="I57" s="222">
        <f t="shared" si="22"/>
        <v>248</v>
      </c>
      <c r="J57" s="222">
        <v>256272.66</v>
      </c>
      <c r="K57" s="65"/>
      <c r="L57" s="65"/>
      <c r="M57" s="65"/>
      <c r="N57" s="65"/>
      <c r="O57" s="47">
        <f t="shared" si="23"/>
        <v>248</v>
      </c>
      <c r="P57" s="47">
        <f t="shared" si="24"/>
        <v>248</v>
      </c>
      <c r="Q57" s="221">
        <v>248</v>
      </c>
      <c r="R57" s="221"/>
      <c r="S57" s="221"/>
    </row>
    <row r="58" spans="1:19" s="39" customFormat="1" ht="18" customHeight="1">
      <c r="A58" s="224" t="s">
        <v>112</v>
      </c>
      <c r="B58" s="49">
        <f t="shared" si="21"/>
        <v>18</v>
      </c>
      <c r="C58" s="49">
        <v>4</v>
      </c>
      <c r="D58" s="49">
        <v>5</v>
      </c>
      <c r="E58" s="49">
        <v>9</v>
      </c>
      <c r="F58" s="49">
        <v>675</v>
      </c>
      <c r="G58" s="49">
        <v>2.5</v>
      </c>
      <c r="H58" s="49">
        <v>1.302</v>
      </c>
      <c r="I58" s="222">
        <f t="shared" si="22"/>
        <v>474.6</v>
      </c>
      <c r="J58" s="222">
        <v>474579</v>
      </c>
      <c r="K58" s="65"/>
      <c r="L58" s="65"/>
      <c r="M58" s="65"/>
      <c r="N58" s="65"/>
      <c r="O58" s="47">
        <f t="shared" si="23"/>
        <v>474.6</v>
      </c>
      <c r="P58" s="47">
        <f t="shared" si="24"/>
        <v>474.6</v>
      </c>
      <c r="Q58" s="221">
        <v>459.3</v>
      </c>
      <c r="R58" s="221"/>
      <c r="S58" s="221"/>
    </row>
    <row r="59" spans="1:19" s="39" customFormat="1" ht="18" customHeight="1">
      <c r="A59" s="224" t="s">
        <v>117</v>
      </c>
      <c r="B59" s="49">
        <f t="shared" si="21"/>
        <v>28</v>
      </c>
      <c r="C59" s="49">
        <v>1</v>
      </c>
      <c r="D59" s="49">
        <v>7</v>
      </c>
      <c r="E59" s="49">
        <f>20</f>
        <v>20</v>
      </c>
      <c r="F59" s="49">
        <v>675</v>
      </c>
      <c r="G59" s="49">
        <v>2.5</v>
      </c>
      <c r="H59" s="49">
        <v>1.302</v>
      </c>
      <c r="I59" s="222">
        <f t="shared" si="22"/>
        <v>738.2</v>
      </c>
      <c r="J59" s="222">
        <v>738234</v>
      </c>
      <c r="K59" s="65"/>
      <c r="L59" s="65"/>
      <c r="M59" s="65"/>
      <c r="N59" s="65"/>
      <c r="O59" s="47">
        <f t="shared" si="23"/>
        <v>738.2</v>
      </c>
      <c r="P59" s="47">
        <f t="shared" si="24"/>
        <v>738.2</v>
      </c>
      <c r="Q59" s="221">
        <v>714.4</v>
      </c>
      <c r="R59" s="221"/>
      <c r="S59" s="221"/>
    </row>
    <row r="60" spans="1:19" s="39" customFormat="1" ht="18" customHeight="1">
      <c r="A60" s="224" t="s">
        <v>118</v>
      </c>
      <c r="B60" s="49">
        <f t="shared" si="21"/>
        <v>13</v>
      </c>
      <c r="C60" s="49">
        <v>1</v>
      </c>
      <c r="D60" s="49">
        <v>0</v>
      </c>
      <c r="E60" s="49">
        <v>12</v>
      </c>
      <c r="F60" s="49">
        <v>675</v>
      </c>
      <c r="G60" s="49">
        <v>2.5</v>
      </c>
      <c r="H60" s="49">
        <v>1.302</v>
      </c>
      <c r="I60" s="222">
        <f t="shared" si="22"/>
        <v>342.8</v>
      </c>
      <c r="J60" s="222">
        <v>342751.5</v>
      </c>
      <c r="K60" s="65"/>
      <c r="L60" s="65"/>
      <c r="M60" s="65"/>
      <c r="N60" s="65"/>
      <c r="O60" s="47">
        <f t="shared" si="23"/>
        <v>342.8</v>
      </c>
      <c r="P60" s="47">
        <f t="shared" si="24"/>
        <v>342.8</v>
      </c>
      <c r="Q60" s="221">
        <v>331.7</v>
      </c>
      <c r="R60" s="221"/>
      <c r="S60" s="221"/>
    </row>
    <row r="61" spans="1:19" s="39" customFormat="1" ht="18" customHeight="1">
      <c r="A61" s="224" t="s">
        <v>119</v>
      </c>
      <c r="B61" s="49">
        <f t="shared" si="21"/>
        <v>22</v>
      </c>
      <c r="C61" s="49">
        <v>13</v>
      </c>
      <c r="D61" s="49">
        <v>2</v>
      </c>
      <c r="E61" s="49">
        <v>7</v>
      </c>
      <c r="F61" s="49">
        <v>675</v>
      </c>
      <c r="G61" s="49">
        <v>2.5</v>
      </c>
      <c r="H61" s="49">
        <v>1.302</v>
      </c>
      <c r="I61" s="222">
        <f t="shared" si="22"/>
        <v>580</v>
      </c>
      <c r="J61" s="222">
        <v>580041</v>
      </c>
      <c r="K61" s="65"/>
      <c r="L61" s="65"/>
      <c r="M61" s="65"/>
      <c r="N61" s="65"/>
      <c r="O61" s="47">
        <f t="shared" si="23"/>
        <v>580</v>
      </c>
      <c r="P61" s="47">
        <f t="shared" si="24"/>
        <v>580</v>
      </c>
      <c r="Q61" s="221">
        <v>561.3</v>
      </c>
      <c r="R61" s="221"/>
      <c r="S61" s="221"/>
    </row>
    <row r="62" spans="1:19" s="39" customFormat="1" ht="15.75">
      <c r="A62" s="224" t="s">
        <v>120</v>
      </c>
      <c r="B62" s="49">
        <f t="shared" si="21"/>
        <v>30</v>
      </c>
      <c r="C62" s="49">
        <v>0</v>
      </c>
      <c r="D62" s="49">
        <v>5</v>
      </c>
      <c r="E62" s="49">
        <v>25</v>
      </c>
      <c r="F62" s="49">
        <v>675</v>
      </c>
      <c r="G62" s="49">
        <v>2.5</v>
      </c>
      <c r="H62" s="49">
        <v>1.302</v>
      </c>
      <c r="I62" s="222">
        <f t="shared" si="22"/>
        <v>791</v>
      </c>
      <c r="J62" s="222">
        <v>790965</v>
      </c>
      <c r="K62" s="65"/>
      <c r="L62" s="65"/>
      <c r="M62" s="65"/>
      <c r="N62" s="65"/>
      <c r="O62" s="47">
        <f t="shared" si="23"/>
        <v>791</v>
      </c>
      <c r="P62" s="47">
        <f t="shared" si="24"/>
        <v>791</v>
      </c>
      <c r="Q62" s="221">
        <v>765.5</v>
      </c>
      <c r="R62" s="221"/>
      <c r="S62" s="221"/>
    </row>
    <row r="63" spans="1:19" s="39" customFormat="1" ht="15.75">
      <c r="A63" s="220" t="s">
        <v>249</v>
      </c>
      <c r="B63" s="49">
        <f>SUM(B64:B72)</f>
        <v>952</v>
      </c>
      <c r="C63" s="49">
        <f>SUM(C64:C72)</f>
        <v>330</v>
      </c>
      <c r="D63" s="49">
        <f>SUM(D64:D72)</f>
        <v>327</v>
      </c>
      <c r="E63" s="49">
        <f>SUM(E64:E72)</f>
        <v>295</v>
      </c>
      <c r="F63" s="49"/>
      <c r="G63" s="49"/>
      <c r="H63" s="49"/>
      <c r="I63" s="222">
        <f aca="true" t="shared" si="25" ref="I63:P63">SUM(I64:I72)</f>
        <v>15099.600000000002</v>
      </c>
      <c r="J63" s="222">
        <f t="shared" si="25"/>
        <v>15602823.230400003</v>
      </c>
      <c r="K63" s="217">
        <f t="shared" si="25"/>
        <v>0</v>
      </c>
      <c r="L63" s="217">
        <f t="shared" si="25"/>
        <v>0</v>
      </c>
      <c r="M63" s="217">
        <f t="shared" si="25"/>
        <v>0</v>
      </c>
      <c r="N63" s="217">
        <f t="shared" si="25"/>
        <v>0</v>
      </c>
      <c r="O63" s="217">
        <f t="shared" si="25"/>
        <v>15099.600000000002</v>
      </c>
      <c r="P63" s="217">
        <f t="shared" si="25"/>
        <v>15099.600000000002</v>
      </c>
      <c r="Q63" s="221">
        <v>15099.6</v>
      </c>
      <c r="R63" s="221"/>
      <c r="S63" s="221"/>
    </row>
    <row r="64" spans="1:19" s="39" customFormat="1" ht="15.75">
      <c r="A64" s="224" t="s">
        <v>14</v>
      </c>
      <c r="B64" s="49">
        <f>C64+D64+E64</f>
        <v>476</v>
      </c>
      <c r="C64" s="49">
        <v>210</v>
      </c>
      <c r="D64" s="49">
        <v>244</v>
      </c>
      <c r="E64" s="49">
        <v>22</v>
      </c>
      <c r="F64" s="49">
        <v>419</v>
      </c>
      <c r="G64" s="49">
        <v>2.5</v>
      </c>
      <c r="H64" s="49">
        <v>1.26</v>
      </c>
      <c r="I64" s="222">
        <f>ROUND(B64*F64*G64*H64*12/1000,1)</f>
        <v>7539</v>
      </c>
      <c r="J64" s="222">
        <v>7790282.64</v>
      </c>
      <c r="K64" s="65"/>
      <c r="L64" s="65"/>
      <c r="M64" s="65"/>
      <c r="N64" s="65"/>
      <c r="O64" s="47">
        <f>I64</f>
        <v>7539</v>
      </c>
      <c r="P64" s="47">
        <f>O64</f>
        <v>7539</v>
      </c>
      <c r="Q64" s="221">
        <v>7539</v>
      </c>
      <c r="R64" s="221"/>
      <c r="S64" s="221"/>
    </row>
    <row r="65" spans="1:19" s="39" customFormat="1" ht="15.75">
      <c r="A65" s="224" t="s">
        <v>113</v>
      </c>
      <c r="B65" s="49">
        <f aca="true" t="shared" si="26" ref="B65:B72">C65+D65+E65</f>
        <v>86</v>
      </c>
      <c r="C65" s="49">
        <v>19</v>
      </c>
      <c r="D65" s="49">
        <f>2+5+2+1</f>
        <v>10</v>
      </c>
      <c r="E65" s="49">
        <v>57</v>
      </c>
      <c r="F65" s="49">
        <v>419</v>
      </c>
      <c r="G65" s="49">
        <v>2.5</v>
      </c>
      <c r="H65" s="49">
        <v>1.26</v>
      </c>
      <c r="I65" s="222">
        <f aca="true" t="shared" si="27" ref="I65:I72">ROUND(B65*F65*G65*H65*12/1000,1)</f>
        <v>1362.1</v>
      </c>
      <c r="J65" s="222">
        <v>1407488.04</v>
      </c>
      <c r="K65" s="65"/>
      <c r="L65" s="65"/>
      <c r="M65" s="65"/>
      <c r="N65" s="65"/>
      <c r="O65" s="47">
        <f aca="true" t="shared" si="28" ref="O65:O72">I65</f>
        <v>1362.1</v>
      </c>
      <c r="P65" s="47">
        <f aca="true" t="shared" si="29" ref="P65:P72">O65</f>
        <v>1362.1</v>
      </c>
      <c r="Q65" s="221">
        <v>1362.1</v>
      </c>
      <c r="R65" s="221"/>
      <c r="S65" s="221"/>
    </row>
    <row r="66" spans="1:19" s="39" customFormat="1" ht="15.75">
      <c r="A66" s="224" t="s">
        <v>109</v>
      </c>
      <c r="B66" s="49">
        <f t="shared" si="26"/>
        <v>67</v>
      </c>
      <c r="C66" s="49">
        <v>21</v>
      </c>
      <c r="D66" s="49">
        <v>12</v>
      </c>
      <c r="E66" s="49">
        <v>34</v>
      </c>
      <c r="F66" s="49">
        <v>419</v>
      </c>
      <c r="G66" s="49">
        <v>2.5</v>
      </c>
      <c r="H66" s="49">
        <v>1.26</v>
      </c>
      <c r="I66" s="222">
        <f t="shared" si="27"/>
        <v>1061.2</v>
      </c>
      <c r="J66" s="222">
        <v>1096531.3800000001</v>
      </c>
      <c r="K66" s="65"/>
      <c r="L66" s="65"/>
      <c r="M66" s="65"/>
      <c r="N66" s="65"/>
      <c r="O66" s="47">
        <f t="shared" si="28"/>
        <v>1061.2</v>
      </c>
      <c r="P66" s="47">
        <f t="shared" si="29"/>
        <v>1061.2</v>
      </c>
      <c r="Q66" s="221">
        <v>1061.2</v>
      </c>
      <c r="R66" s="221"/>
      <c r="S66" s="221"/>
    </row>
    <row r="67" spans="1:19" s="39" customFormat="1" ht="15.75">
      <c r="A67" s="224" t="s">
        <v>116</v>
      </c>
      <c r="B67" s="49">
        <f t="shared" si="26"/>
        <v>17</v>
      </c>
      <c r="C67" s="49">
        <v>4</v>
      </c>
      <c r="D67" s="49">
        <v>0</v>
      </c>
      <c r="E67" s="49">
        <v>13</v>
      </c>
      <c r="F67" s="49">
        <v>419</v>
      </c>
      <c r="G67" s="49">
        <v>2.7</v>
      </c>
      <c r="H67" s="49">
        <v>1.26</v>
      </c>
      <c r="I67" s="222">
        <f t="shared" si="27"/>
        <v>290.8</v>
      </c>
      <c r="J67" s="222">
        <v>300482.3304000001</v>
      </c>
      <c r="K67" s="65"/>
      <c r="L67" s="65"/>
      <c r="M67" s="65"/>
      <c r="N67" s="65"/>
      <c r="O67" s="47">
        <f t="shared" si="28"/>
        <v>290.8</v>
      </c>
      <c r="P67" s="47">
        <f t="shared" si="29"/>
        <v>290.8</v>
      </c>
      <c r="Q67" s="221">
        <v>290.8</v>
      </c>
      <c r="R67" s="221"/>
      <c r="S67" s="221"/>
    </row>
    <row r="68" spans="1:19" s="39" customFormat="1" ht="15.75">
      <c r="A68" s="224" t="s">
        <v>112</v>
      </c>
      <c r="B68" s="49">
        <f t="shared" si="26"/>
        <v>39</v>
      </c>
      <c r="C68" s="49">
        <v>15</v>
      </c>
      <c r="D68" s="49">
        <v>8</v>
      </c>
      <c r="E68" s="49">
        <v>16</v>
      </c>
      <c r="F68" s="49">
        <v>419</v>
      </c>
      <c r="G68" s="49">
        <v>2.5</v>
      </c>
      <c r="H68" s="49">
        <v>1.26</v>
      </c>
      <c r="I68" s="222">
        <f t="shared" si="27"/>
        <v>617.7</v>
      </c>
      <c r="J68" s="222">
        <v>638279.46</v>
      </c>
      <c r="K68" s="65"/>
      <c r="L68" s="65"/>
      <c r="M68" s="65"/>
      <c r="N68" s="65"/>
      <c r="O68" s="47">
        <f t="shared" si="28"/>
        <v>617.7</v>
      </c>
      <c r="P68" s="47">
        <f t="shared" si="29"/>
        <v>617.7</v>
      </c>
      <c r="Q68" s="221">
        <v>617.7</v>
      </c>
      <c r="R68" s="221"/>
      <c r="S68" s="221"/>
    </row>
    <row r="69" spans="1:19" s="39" customFormat="1" ht="15.75">
      <c r="A69" s="224" t="s">
        <v>117</v>
      </c>
      <c r="B69" s="49">
        <f t="shared" si="26"/>
        <v>58</v>
      </c>
      <c r="C69" s="49">
        <v>11</v>
      </c>
      <c r="D69" s="49">
        <v>10</v>
      </c>
      <c r="E69" s="49">
        <v>37</v>
      </c>
      <c r="F69" s="49">
        <v>419</v>
      </c>
      <c r="G69" s="49">
        <v>2.5</v>
      </c>
      <c r="H69" s="49">
        <v>1.26</v>
      </c>
      <c r="I69" s="222">
        <f t="shared" si="27"/>
        <v>918.6</v>
      </c>
      <c r="J69" s="222">
        <v>949236.1200000001</v>
      </c>
      <c r="K69" s="65"/>
      <c r="L69" s="65"/>
      <c r="M69" s="65"/>
      <c r="N69" s="65"/>
      <c r="O69" s="47">
        <f t="shared" si="28"/>
        <v>918.6</v>
      </c>
      <c r="P69" s="47">
        <f t="shared" si="29"/>
        <v>918.6</v>
      </c>
      <c r="Q69" s="221">
        <v>918.6</v>
      </c>
      <c r="R69" s="221"/>
      <c r="S69" s="221"/>
    </row>
    <row r="70" spans="1:19" s="39" customFormat="1" ht="15.75">
      <c r="A70" s="224" t="s">
        <v>118</v>
      </c>
      <c r="B70" s="49">
        <f t="shared" si="26"/>
        <v>39</v>
      </c>
      <c r="C70" s="49">
        <v>6</v>
      </c>
      <c r="D70" s="49">
        <v>6</v>
      </c>
      <c r="E70" s="49">
        <v>27</v>
      </c>
      <c r="F70" s="49">
        <v>419</v>
      </c>
      <c r="G70" s="49">
        <v>2.5</v>
      </c>
      <c r="H70" s="49">
        <v>1.26</v>
      </c>
      <c r="I70" s="222">
        <f t="shared" si="27"/>
        <v>617.7</v>
      </c>
      <c r="J70" s="222">
        <v>638279.46</v>
      </c>
      <c r="K70" s="65"/>
      <c r="L70" s="65"/>
      <c r="M70" s="65"/>
      <c r="N70" s="65"/>
      <c r="O70" s="47">
        <f t="shared" si="28"/>
        <v>617.7</v>
      </c>
      <c r="P70" s="47">
        <f t="shared" si="29"/>
        <v>617.7</v>
      </c>
      <c r="Q70" s="221">
        <v>617.7</v>
      </c>
      <c r="R70" s="221"/>
      <c r="S70" s="221"/>
    </row>
    <row r="71" spans="1:19" s="39" customFormat="1" ht="15.75">
      <c r="A71" s="224" t="s">
        <v>119</v>
      </c>
      <c r="B71" s="49">
        <f t="shared" si="26"/>
        <v>70</v>
      </c>
      <c r="C71" s="49">
        <v>16</v>
      </c>
      <c r="D71" s="49">
        <v>19</v>
      </c>
      <c r="E71" s="49">
        <v>35</v>
      </c>
      <c r="F71" s="49">
        <v>419</v>
      </c>
      <c r="G71" s="49">
        <v>2.5</v>
      </c>
      <c r="H71" s="49">
        <v>1.26</v>
      </c>
      <c r="I71" s="222">
        <f t="shared" si="27"/>
        <v>1108.7</v>
      </c>
      <c r="J71" s="222">
        <v>1145629.8</v>
      </c>
      <c r="K71" s="65"/>
      <c r="L71" s="65"/>
      <c r="M71" s="65"/>
      <c r="N71" s="65"/>
      <c r="O71" s="47">
        <f t="shared" si="28"/>
        <v>1108.7</v>
      </c>
      <c r="P71" s="47">
        <f t="shared" si="29"/>
        <v>1108.7</v>
      </c>
      <c r="Q71" s="221">
        <v>1108.7</v>
      </c>
      <c r="R71" s="221"/>
      <c r="S71" s="221"/>
    </row>
    <row r="72" spans="1:19" s="39" customFormat="1" ht="15.75">
      <c r="A72" s="224" t="s">
        <v>120</v>
      </c>
      <c r="B72" s="49">
        <f t="shared" si="26"/>
        <v>100</v>
      </c>
      <c r="C72" s="49">
        <v>28</v>
      </c>
      <c r="D72" s="49">
        <v>18</v>
      </c>
      <c r="E72" s="49">
        <v>54</v>
      </c>
      <c r="F72" s="49">
        <v>419</v>
      </c>
      <c r="G72" s="49">
        <v>2.5</v>
      </c>
      <c r="H72" s="49">
        <v>1.26</v>
      </c>
      <c r="I72" s="222">
        <f t="shared" si="27"/>
        <v>1583.8</v>
      </c>
      <c r="J72" s="222">
        <v>1636614</v>
      </c>
      <c r="K72" s="65"/>
      <c r="L72" s="65"/>
      <c r="M72" s="65"/>
      <c r="N72" s="65"/>
      <c r="O72" s="47">
        <f t="shared" si="28"/>
        <v>1583.8</v>
      </c>
      <c r="P72" s="47">
        <f t="shared" si="29"/>
        <v>1583.8</v>
      </c>
      <c r="Q72" s="221">
        <v>1583.8</v>
      </c>
      <c r="R72" s="221"/>
      <c r="S72" s="221"/>
    </row>
    <row r="73" spans="1:19" s="39" customFormat="1" ht="15.75">
      <c r="A73" s="220" t="s">
        <v>250</v>
      </c>
      <c r="B73" s="49">
        <f>SUM(B74:B82)</f>
        <v>48</v>
      </c>
      <c r="C73" s="49">
        <f>SUM(C74:C82)</f>
        <v>14</v>
      </c>
      <c r="D73" s="49">
        <f>SUM(D74:D82)</f>
        <v>15</v>
      </c>
      <c r="E73" s="49">
        <f>SUM(E74:E82)</f>
        <v>19</v>
      </c>
      <c r="F73" s="49"/>
      <c r="G73" s="49"/>
      <c r="H73" s="49"/>
      <c r="I73" s="222">
        <f aca="true" t="shared" si="30" ref="I73:P73">SUM(I74:I82)</f>
        <v>380.5</v>
      </c>
      <c r="J73" s="222">
        <f t="shared" si="30"/>
        <v>1446905.8296000003</v>
      </c>
      <c r="K73" s="217">
        <f t="shared" si="30"/>
        <v>0</v>
      </c>
      <c r="L73" s="217">
        <f t="shared" si="30"/>
        <v>0</v>
      </c>
      <c r="M73" s="217">
        <f t="shared" si="30"/>
        <v>0</v>
      </c>
      <c r="N73" s="217">
        <f t="shared" si="30"/>
        <v>0</v>
      </c>
      <c r="O73" s="217">
        <f t="shared" si="30"/>
        <v>380.5</v>
      </c>
      <c r="P73" s="217">
        <f t="shared" si="30"/>
        <v>380.5</v>
      </c>
      <c r="Q73" s="221">
        <v>380.5</v>
      </c>
      <c r="R73" s="221"/>
      <c r="S73" s="221"/>
    </row>
    <row r="74" spans="1:19" s="39" customFormat="1" ht="15.75">
      <c r="A74" s="224" t="s">
        <v>14</v>
      </c>
      <c r="B74" s="49">
        <v>24</v>
      </c>
      <c r="C74" s="49">
        <v>8</v>
      </c>
      <c r="D74" s="49">
        <v>7</v>
      </c>
      <c r="E74" s="49">
        <v>9</v>
      </c>
      <c r="F74" s="49">
        <v>209</v>
      </c>
      <c r="G74" s="49">
        <v>2.5</v>
      </c>
      <c r="H74" s="49">
        <v>1.26</v>
      </c>
      <c r="I74" s="222">
        <f>ROUND(B74*F74*G74*H74*12/1000,1)</f>
        <v>189.6</v>
      </c>
      <c r="J74" s="222">
        <v>971461.26</v>
      </c>
      <c r="K74" s="65"/>
      <c r="L74" s="65"/>
      <c r="M74" s="65"/>
      <c r="N74" s="65"/>
      <c r="O74" s="47">
        <f>I74</f>
        <v>189.6</v>
      </c>
      <c r="P74" s="47">
        <f>O74</f>
        <v>189.6</v>
      </c>
      <c r="Q74" s="221">
        <v>189.6</v>
      </c>
      <c r="R74" s="221"/>
      <c r="S74" s="221"/>
    </row>
    <row r="75" spans="1:19" s="39" customFormat="1" ht="15.75">
      <c r="A75" s="224" t="s">
        <v>113</v>
      </c>
      <c r="B75" s="49">
        <v>7</v>
      </c>
      <c r="C75" s="49">
        <v>2</v>
      </c>
      <c r="D75" s="49">
        <v>3</v>
      </c>
      <c r="E75" s="49">
        <v>2</v>
      </c>
      <c r="F75" s="49">
        <v>209</v>
      </c>
      <c r="G75" s="49">
        <v>2.5</v>
      </c>
      <c r="H75" s="49">
        <v>1.26</v>
      </c>
      <c r="I75" s="222">
        <f aca="true" t="shared" si="31" ref="I75:I82">ROUND(B75*F75*G75*H75*12/1000,1)</f>
        <v>55.3</v>
      </c>
      <c r="J75" s="222">
        <v>138780.18000000002</v>
      </c>
      <c r="K75" s="65"/>
      <c r="L75" s="65"/>
      <c r="M75" s="65"/>
      <c r="N75" s="65"/>
      <c r="O75" s="47">
        <f aca="true" t="shared" si="32" ref="O75:O82">I75</f>
        <v>55.3</v>
      </c>
      <c r="P75" s="47">
        <f aca="true" t="shared" si="33" ref="P75:P82">O75</f>
        <v>55.3</v>
      </c>
      <c r="Q75" s="221">
        <v>55.3</v>
      </c>
      <c r="R75" s="221"/>
      <c r="S75" s="221"/>
    </row>
    <row r="76" spans="1:19" s="39" customFormat="1" ht="15.75">
      <c r="A76" s="224" t="s">
        <v>109</v>
      </c>
      <c r="B76" s="49">
        <v>5</v>
      </c>
      <c r="C76" s="49">
        <v>2</v>
      </c>
      <c r="D76" s="49">
        <v>2</v>
      </c>
      <c r="E76" s="49">
        <v>1</v>
      </c>
      <c r="F76" s="49">
        <v>209</v>
      </c>
      <c r="G76" s="49">
        <v>2.5</v>
      </c>
      <c r="H76" s="49">
        <v>1.26</v>
      </c>
      <c r="I76" s="222">
        <f t="shared" si="31"/>
        <v>39.5</v>
      </c>
      <c r="J76" s="222">
        <v>73471.86000000002</v>
      </c>
      <c r="K76" s="65"/>
      <c r="L76" s="65"/>
      <c r="M76" s="65"/>
      <c r="N76" s="65"/>
      <c r="O76" s="47">
        <f t="shared" si="32"/>
        <v>39.5</v>
      </c>
      <c r="P76" s="47">
        <f t="shared" si="33"/>
        <v>39.5</v>
      </c>
      <c r="Q76" s="221">
        <v>39.5</v>
      </c>
      <c r="R76" s="221"/>
      <c r="S76" s="221"/>
    </row>
    <row r="77" spans="1:19" s="39" customFormat="1" ht="15.75">
      <c r="A77" s="224" t="s">
        <v>116</v>
      </c>
      <c r="B77" s="49">
        <f aca="true" t="shared" si="34" ref="B77:B82">C77+D77+E77</f>
        <v>2</v>
      </c>
      <c r="C77" s="49">
        <v>0</v>
      </c>
      <c r="D77" s="49">
        <v>0</v>
      </c>
      <c r="E77" s="49">
        <v>2</v>
      </c>
      <c r="F77" s="49">
        <v>209</v>
      </c>
      <c r="G77" s="49">
        <v>2.7</v>
      </c>
      <c r="H77" s="49">
        <v>1.26</v>
      </c>
      <c r="I77" s="222">
        <f t="shared" si="31"/>
        <v>17.1</v>
      </c>
      <c r="J77" s="222">
        <v>26449.869599999998</v>
      </c>
      <c r="K77" s="65"/>
      <c r="L77" s="65"/>
      <c r="M77" s="65"/>
      <c r="N77" s="65"/>
      <c r="O77" s="47">
        <f t="shared" si="32"/>
        <v>17.1</v>
      </c>
      <c r="P77" s="47">
        <f t="shared" si="33"/>
        <v>17.1</v>
      </c>
      <c r="Q77" s="221">
        <v>17.1</v>
      </c>
      <c r="R77" s="221"/>
      <c r="S77" s="221"/>
    </row>
    <row r="78" spans="1:19" s="39" customFormat="1" ht="15.75">
      <c r="A78" s="224" t="s">
        <v>112</v>
      </c>
      <c r="B78" s="49">
        <f t="shared" si="34"/>
        <v>1</v>
      </c>
      <c r="C78" s="49">
        <v>0</v>
      </c>
      <c r="D78" s="49">
        <v>0</v>
      </c>
      <c r="E78" s="49">
        <v>1</v>
      </c>
      <c r="F78" s="49">
        <v>209</v>
      </c>
      <c r="G78" s="49">
        <v>2.5</v>
      </c>
      <c r="H78" s="49">
        <v>1.26</v>
      </c>
      <c r="I78" s="222">
        <f t="shared" si="31"/>
        <v>7.9</v>
      </c>
      <c r="J78" s="222">
        <v>8163.540000000001</v>
      </c>
      <c r="K78" s="65"/>
      <c r="L78" s="65"/>
      <c r="M78" s="65"/>
      <c r="N78" s="65"/>
      <c r="O78" s="47">
        <f t="shared" si="32"/>
        <v>7.9</v>
      </c>
      <c r="P78" s="47">
        <f t="shared" si="33"/>
        <v>7.9</v>
      </c>
      <c r="Q78" s="221">
        <v>7.9</v>
      </c>
      <c r="R78" s="221"/>
      <c r="S78" s="221"/>
    </row>
    <row r="79" spans="1:19" s="39" customFormat="1" ht="15.75">
      <c r="A79" s="224" t="s">
        <v>117</v>
      </c>
      <c r="B79" s="49">
        <f t="shared" si="34"/>
        <v>4</v>
      </c>
      <c r="C79" s="49">
        <v>1</v>
      </c>
      <c r="D79" s="49">
        <v>1</v>
      </c>
      <c r="E79" s="49">
        <v>2</v>
      </c>
      <c r="F79" s="49">
        <v>209</v>
      </c>
      <c r="G79" s="49">
        <v>2.5</v>
      </c>
      <c r="H79" s="49">
        <v>1.26</v>
      </c>
      <c r="I79" s="222">
        <f t="shared" si="31"/>
        <v>31.6</v>
      </c>
      <c r="J79" s="222">
        <v>57144.780000000006</v>
      </c>
      <c r="K79" s="65"/>
      <c r="L79" s="65"/>
      <c r="M79" s="65"/>
      <c r="N79" s="65"/>
      <c r="O79" s="47">
        <f t="shared" si="32"/>
        <v>31.6</v>
      </c>
      <c r="P79" s="47">
        <f t="shared" si="33"/>
        <v>31.6</v>
      </c>
      <c r="Q79" s="221">
        <v>31.6</v>
      </c>
      <c r="R79" s="221"/>
      <c r="S79" s="221"/>
    </row>
    <row r="80" spans="1:19" s="39" customFormat="1" ht="15.75">
      <c r="A80" s="224" t="s">
        <v>118</v>
      </c>
      <c r="B80" s="49">
        <f t="shared" si="34"/>
        <v>3</v>
      </c>
      <c r="C80" s="49">
        <v>1</v>
      </c>
      <c r="D80" s="49">
        <v>1</v>
      </c>
      <c r="E80" s="49">
        <v>1</v>
      </c>
      <c r="F80" s="49">
        <v>209</v>
      </c>
      <c r="G80" s="49">
        <v>2.5</v>
      </c>
      <c r="H80" s="49">
        <v>1.26</v>
      </c>
      <c r="I80" s="222">
        <f t="shared" si="31"/>
        <v>23.7</v>
      </c>
      <c r="J80" s="222">
        <v>73471.86000000002</v>
      </c>
      <c r="K80" s="65"/>
      <c r="L80" s="65"/>
      <c r="M80" s="65"/>
      <c r="N80" s="65"/>
      <c r="O80" s="47">
        <f t="shared" si="32"/>
        <v>23.7</v>
      </c>
      <c r="P80" s="47">
        <f t="shared" si="33"/>
        <v>23.7</v>
      </c>
      <c r="Q80" s="221">
        <v>23.7</v>
      </c>
      <c r="R80" s="221"/>
      <c r="S80" s="221"/>
    </row>
    <row r="81" spans="1:19" s="39" customFormat="1" ht="15.75">
      <c r="A81" s="224" t="s">
        <v>119</v>
      </c>
      <c r="B81" s="49">
        <f t="shared" si="34"/>
        <v>2</v>
      </c>
      <c r="C81" s="49">
        <v>0</v>
      </c>
      <c r="D81" s="49">
        <v>1</v>
      </c>
      <c r="E81" s="49">
        <v>1</v>
      </c>
      <c r="F81" s="49">
        <v>209</v>
      </c>
      <c r="G81" s="49">
        <v>2.5</v>
      </c>
      <c r="H81" s="49">
        <v>1.26</v>
      </c>
      <c r="I81" s="222">
        <f t="shared" si="31"/>
        <v>15.8</v>
      </c>
      <c r="J81" s="222">
        <v>89798.94</v>
      </c>
      <c r="K81" s="65"/>
      <c r="L81" s="65"/>
      <c r="M81" s="65"/>
      <c r="N81" s="65"/>
      <c r="O81" s="47">
        <f t="shared" si="32"/>
        <v>15.8</v>
      </c>
      <c r="P81" s="47">
        <f t="shared" si="33"/>
        <v>15.8</v>
      </c>
      <c r="Q81" s="221">
        <v>15.8</v>
      </c>
      <c r="R81" s="221"/>
      <c r="S81" s="221"/>
    </row>
    <row r="82" spans="1:19" s="39" customFormat="1" ht="15.75">
      <c r="A82" s="224" t="s">
        <v>120</v>
      </c>
      <c r="B82" s="49">
        <f t="shared" si="34"/>
        <v>0</v>
      </c>
      <c r="C82" s="49">
        <v>0</v>
      </c>
      <c r="D82" s="49">
        <v>0</v>
      </c>
      <c r="E82" s="49">
        <v>0</v>
      </c>
      <c r="F82" s="49">
        <v>209</v>
      </c>
      <c r="G82" s="49">
        <v>2.5</v>
      </c>
      <c r="H82" s="49">
        <v>1.26</v>
      </c>
      <c r="I82" s="222">
        <f t="shared" si="31"/>
        <v>0</v>
      </c>
      <c r="J82" s="222">
        <v>8163.540000000001</v>
      </c>
      <c r="K82" s="65"/>
      <c r="L82" s="65"/>
      <c r="M82" s="65"/>
      <c r="N82" s="65"/>
      <c r="O82" s="47">
        <f t="shared" si="32"/>
        <v>0</v>
      </c>
      <c r="P82" s="47">
        <f t="shared" si="33"/>
        <v>0</v>
      </c>
      <c r="Q82" s="221">
        <v>0</v>
      </c>
      <c r="R82" s="221"/>
      <c r="S82" s="221"/>
    </row>
    <row r="83" spans="1:19" s="39" customFormat="1" ht="30" customHeight="1">
      <c r="A83" s="225" t="s">
        <v>251</v>
      </c>
      <c r="B83" s="49" t="s">
        <v>236</v>
      </c>
      <c r="C83" s="49"/>
      <c r="D83" s="49"/>
      <c r="E83" s="49"/>
      <c r="F83" s="49" t="s">
        <v>252</v>
      </c>
      <c r="G83" s="49" t="s">
        <v>246</v>
      </c>
      <c r="H83" s="49" t="s">
        <v>241</v>
      </c>
      <c r="I83" s="222"/>
      <c r="J83" s="222"/>
      <c r="K83" s="65"/>
      <c r="L83" s="65"/>
      <c r="M83" s="65"/>
      <c r="N83" s="65"/>
      <c r="O83" s="65"/>
      <c r="P83" s="65"/>
      <c r="Q83" s="222"/>
      <c r="R83" s="222"/>
      <c r="S83" s="222"/>
    </row>
    <row r="84" spans="1:19" s="39" customFormat="1" ht="60" customHeight="1">
      <c r="A84" s="220" t="s">
        <v>253</v>
      </c>
      <c r="B84" s="49">
        <f>SUM(B85:B93)</f>
        <v>55</v>
      </c>
      <c r="C84" s="49">
        <f>SUM(C85:C93)</f>
        <v>11</v>
      </c>
      <c r="D84" s="49">
        <f>SUM(D85:D93)</f>
        <v>13</v>
      </c>
      <c r="E84" s="49">
        <f>SUM(E85:E93)</f>
        <v>31</v>
      </c>
      <c r="F84" s="49"/>
      <c r="G84" s="49"/>
      <c r="H84" s="49"/>
      <c r="I84" s="222">
        <f aca="true" t="shared" si="35" ref="I84:P84">SUM(I85:I93)</f>
        <v>1870.9999999999998</v>
      </c>
      <c r="J84" s="222">
        <f t="shared" si="35"/>
        <v>1933470</v>
      </c>
      <c r="K84" s="217">
        <f t="shared" si="35"/>
        <v>0</v>
      </c>
      <c r="L84" s="217">
        <f t="shared" si="35"/>
        <v>0</v>
      </c>
      <c r="M84" s="217">
        <f t="shared" si="35"/>
        <v>0</v>
      </c>
      <c r="N84" s="217">
        <f t="shared" si="35"/>
        <v>0</v>
      </c>
      <c r="O84" s="217">
        <f t="shared" si="35"/>
        <v>1870.9999999999998</v>
      </c>
      <c r="P84" s="217">
        <f t="shared" si="35"/>
        <v>1870.9999999999998</v>
      </c>
      <c r="Q84" s="221">
        <v>1871</v>
      </c>
      <c r="R84" s="221"/>
      <c r="S84" s="221"/>
    </row>
    <row r="85" spans="1:19" s="39" customFormat="1" ht="14.25" customHeight="1">
      <c r="A85" s="224" t="s">
        <v>14</v>
      </c>
      <c r="B85" s="49">
        <f>C85+D85+E85</f>
        <v>35</v>
      </c>
      <c r="C85" s="49">
        <v>7</v>
      </c>
      <c r="D85" s="49">
        <v>4</v>
      </c>
      <c r="E85" s="49">
        <v>24</v>
      </c>
      <c r="F85" s="49">
        <v>900</v>
      </c>
      <c r="G85" s="49">
        <v>2.5</v>
      </c>
      <c r="H85" s="49">
        <v>1.26</v>
      </c>
      <c r="I85" s="222">
        <f>ROUND(B85*F85*G85*H85*12/1000,1)</f>
        <v>1190.7</v>
      </c>
      <c r="J85" s="222">
        <v>1230390</v>
      </c>
      <c r="K85" s="65"/>
      <c r="L85" s="65"/>
      <c r="M85" s="65"/>
      <c r="N85" s="65"/>
      <c r="O85" s="47">
        <f>I85</f>
        <v>1190.7</v>
      </c>
      <c r="P85" s="47">
        <f>O85</f>
        <v>1190.7</v>
      </c>
      <c r="Q85" s="221">
        <v>1190.7</v>
      </c>
      <c r="R85" s="221"/>
      <c r="S85" s="221"/>
    </row>
    <row r="86" spans="1:19" s="39" customFormat="1" ht="14.25" customHeight="1">
      <c r="A86" s="224" t="s">
        <v>113</v>
      </c>
      <c r="B86" s="49">
        <f aca="true" t="shared" si="36" ref="B86:B93">C86+D86+E86</f>
        <v>3</v>
      </c>
      <c r="C86" s="49">
        <v>2</v>
      </c>
      <c r="D86" s="49">
        <v>0</v>
      </c>
      <c r="E86" s="49">
        <v>1</v>
      </c>
      <c r="F86" s="49">
        <v>900</v>
      </c>
      <c r="G86" s="49">
        <v>2.5</v>
      </c>
      <c r="H86" s="49">
        <v>1.26</v>
      </c>
      <c r="I86" s="222">
        <f aca="true" t="shared" si="37" ref="I86:I93">ROUND(B86*F86*G86*H86*12/1000,1)</f>
        <v>102.1</v>
      </c>
      <c r="J86" s="222">
        <v>105462</v>
      </c>
      <c r="K86" s="65"/>
      <c r="L86" s="65"/>
      <c r="M86" s="65"/>
      <c r="N86" s="65"/>
      <c r="O86" s="47">
        <f aca="true" t="shared" si="38" ref="O86:O93">I86</f>
        <v>102.1</v>
      </c>
      <c r="P86" s="47">
        <f aca="true" t="shared" si="39" ref="P86:P93">O86</f>
        <v>102.1</v>
      </c>
      <c r="Q86" s="221">
        <v>102.1</v>
      </c>
      <c r="R86" s="221"/>
      <c r="S86" s="221"/>
    </row>
    <row r="87" spans="1:19" s="39" customFormat="1" ht="14.25" customHeight="1">
      <c r="A87" s="224" t="s">
        <v>109</v>
      </c>
      <c r="B87" s="49">
        <f t="shared" si="36"/>
        <v>2</v>
      </c>
      <c r="C87" s="49">
        <v>0</v>
      </c>
      <c r="D87" s="49">
        <v>0</v>
      </c>
      <c r="E87" s="49">
        <v>2</v>
      </c>
      <c r="F87" s="49">
        <v>900</v>
      </c>
      <c r="G87" s="49">
        <v>2.5</v>
      </c>
      <c r="H87" s="49">
        <v>1.26</v>
      </c>
      <c r="I87" s="222">
        <f t="shared" si="37"/>
        <v>68</v>
      </c>
      <c r="J87" s="222">
        <v>70308</v>
      </c>
      <c r="K87" s="65"/>
      <c r="L87" s="65"/>
      <c r="M87" s="65"/>
      <c r="N87" s="65"/>
      <c r="O87" s="47">
        <f t="shared" si="38"/>
        <v>68</v>
      </c>
      <c r="P87" s="47">
        <f t="shared" si="39"/>
        <v>68</v>
      </c>
      <c r="Q87" s="221">
        <v>68</v>
      </c>
      <c r="R87" s="221"/>
      <c r="S87" s="221"/>
    </row>
    <row r="88" spans="1:19" s="39" customFormat="1" ht="14.25" customHeight="1">
      <c r="A88" s="224" t="s">
        <v>116</v>
      </c>
      <c r="B88" s="49">
        <f t="shared" si="36"/>
        <v>0</v>
      </c>
      <c r="C88" s="49">
        <v>0</v>
      </c>
      <c r="D88" s="49">
        <v>0</v>
      </c>
      <c r="E88" s="49">
        <v>0</v>
      </c>
      <c r="F88" s="49">
        <v>900</v>
      </c>
      <c r="G88" s="49">
        <v>2.7</v>
      </c>
      <c r="H88" s="49">
        <v>1.26</v>
      </c>
      <c r="I88" s="222">
        <f t="shared" si="37"/>
        <v>0</v>
      </c>
      <c r="J88" s="222">
        <v>0</v>
      </c>
      <c r="K88" s="65"/>
      <c r="L88" s="65"/>
      <c r="M88" s="65"/>
      <c r="N88" s="65"/>
      <c r="O88" s="47">
        <f t="shared" si="38"/>
        <v>0</v>
      </c>
      <c r="P88" s="47">
        <f t="shared" si="39"/>
        <v>0</v>
      </c>
      <c r="Q88" s="221">
        <v>0</v>
      </c>
      <c r="R88" s="221"/>
      <c r="S88" s="221"/>
    </row>
    <row r="89" spans="1:19" s="39" customFormat="1" ht="14.25" customHeight="1">
      <c r="A89" s="224" t="s">
        <v>112</v>
      </c>
      <c r="B89" s="49">
        <f t="shared" si="36"/>
        <v>6</v>
      </c>
      <c r="C89" s="49">
        <v>1</v>
      </c>
      <c r="D89" s="49">
        <v>5</v>
      </c>
      <c r="E89" s="49">
        <v>0</v>
      </c>
      <c r="F89" s="49">
        <v>900</v>
      </c>
      <c r="G89" s="49">
        <v>2.5</v>
      </c>
      <c r="H89" s="49">
        <v>1.26</v>
      </c>
      <c r="I89" s="222">
        <f t="shared" si="37"/>
        <v>204.1</v>
      </c>
      <c r="J89" s="222">
        <v>210924</v>
      </c>
      <c r="K89" s="65"/>
      <c r="L89" s="65"/>
      <c r="M89" s="65"/>
      <c r="N89" s="65"/>
      <c r="O89" s="47">
        <f t="shared" si="38"/>
        <v>204.1</v>
      </c>
      <c r="P89" s="47">
        <f t="shared" si="39"/>
        <v>204.1</v>
      </c>
      <c r="Q89" s="221">
        <v>204.1</v>
      </c>
      <c r="R89" s="221"/>
      <c r="S89" s="221"/>
    </row>
    <row r="90" spans="1:19" s="39" customFormat="1" ht="14.25" customHeight="1">
      <c r="A90" s="224" t="s">
        <v>117</v>
      </c>
      <c r="B90" s="49">
        <f t="shared" si="36"/>
        <v>2</v>
      </c>
      <c r="C90" s="49">
        <v>0</v>
      </c>
      <c r="D90" s="49">
        <v>1</v>
      </c>
      <c r="E90" s="49">
        <v>1</v>
      </c>
      <c r="F90" s="49">
        <v>900</v>
      </c>
      <c r="G90" s="49">
        <v>2.5</v>
      </c>
      <c r="H90" s="49">
        <v>1.26</v>
      </c>
      <c r="I90" s="222">
        <f t="shared" si="37"/>
        <v>68</v>
      </c>
      <c r="J90" s="222">
        <v>70308</v>
      </c>
      <c r="K90" s="65"/>
      <c r="L90" s="65"/>
      <c r="M90" s="65"/>
      <c r="N90" s="65"/>
      <c r="O90" s="47">
        <f t="shared" si="38"/>
        <v>68</v>
      </c>
      <c r="P90" s="47">
        <f t="shared" si="39"/>
        <v>68</v>
      </c>
      <c r="Q90" s="221">
        <v>68</v>
      </c>
      <c r="R90" s="221"/>
      <c r="S90" s="221"/>
    </row>
    <row r="91" spans="1:19" s="39" customFormat="1" ht="16.5" customHeight="1">
      <c r="A91" s="224" t="s">
        <v>118</v>
      </c>
      <c r="B91" s="49">
        <f t="shared" si="36"/>
        <v>1</v>
      </c>
      <c r="C91" s="49">
        <v>1</v>
      </c>
      <c r="D91" s="49">
        <v>0</v>
      </c>
      <c r="E91" s="49">
        <v>0</v>
      </c>
      <c r="F91" s="49">
        <v>900</v>
      </c>
      <c r="G91" s="49">
        <v>2.5</v>
      </c>
      <c r="H91" s="49">
        <v>1.26</v>
      </c>
      <c r="I91" s="222">
        <f t="shared" si="37"/>
        <v>34</v>
      </c>
      <c r="J91" s="222">
        <v>35154</v>
      </c>
      <c r="K91" s="65"/>
      <c r="L91" s="65"/>
      <c r="M91" s="65"/>
      <c r="N91" s="65"/>
      <c r="O91" s="47">
        <f t="shared" si="38"/>
        <v>34</v>
      </c>
      <c r="P91" s="47">
        <f t="shared" si="39"/>
        <v>34</v>
      </c>
      <c r="Q91" s="221">
        <v>34</v>
      </c>
      <c r="R91" s="221"/>
      <c r="S91" s="221"/>
    </row>
    <row r="92" spans="1:19" s="39" customFormat="1" ht="15.75" customHeight="1">
      <c r="A92" s="224" t="s">
        <v>119</v>
      </c>
      <c r="B92" s="49">
        <f t="shared" si="36"/>
        <v>1</v>
      </c>
      <c r="C92" s="49">
        <v>0</v>
      </c>
      <c r="D92" s="49">
        <v>1</v>
      </c>
      <c r="E92" s="49">
        <v>0</v>
      </c>
      <c r="F92" s="49">
        <v>900</v>
      </c>
      <c r="G92" s="49">
        <v>2.5</v>
      </c>
      <c r="H92" s="49">
        <v>1.26</v>
      </c>
      <c r="I92" s="222">
        <f t="shared" si="37"/>
        <v>34</v>
      </c>
      <c r="J92" s="222">
        <v>35154</v>
      </c>
      <c r="K92" s="65"/>
      <c r="L92" s="65"/>
      <c r="M92" s="65"/>
      <c r="N92" s="65"/>
      <c r="O92" s="47">
        <f t="shared" si="38"/>
        <v>34</v>
      </c>
      <c r="P92" s="47">
        <f t="shared" si="39"/>
        <v>34</v>
      </c>
      <c r="Q92" s="221">
        <v>34</v>
      </c>
      <c r="R92" s="221"/>
      <c r="S92" s="221"/>
    </row>
    <row r="93" spans="1:19" s="39" customFormat="1" ht="18.75" customHeight="1">
      <c r="A93" s="224" t="s">
        <v>120</v>
      </c>
      <c r="B93" s="49">
        <f t="shared" si="36"/>
        <v>5</v>
      </c>
      <c r="C93" s="49">
        <v>0</v>
      </c>
      <c r="D93" s="49">
        <v>2</v>
      </c>
      <c r="E93" s="49">
        <v>3</v>
      </c>
      <c r="F93" s="49">
        <v>900</v>
      </c>
      <c r="G93" s="49">
        <v>2.5</v>
      </c>
      <c r="H93" s="49">
        <v>1.26</v>
      </c>
      <c r="I93" s="222">
        <f t="shared" si="37"/>
        <v>170.1</v>
      </c>
      <c r="J93" s="222">
        <v>175770</v>
      </c>
      <c r="K93" s="65"/>
      <c r="L93" s="65"/>
      <c r="M93" s="65"/>
      <c r="N93" s="65"/>
      <c r="O93" s="47">
        <f t="shared" si="38"/>
        <v>170.1</v>
      </c>
      <c r="P93" s="47">
        <f t="shared" si="39"/>
        <v>170.1</v>
      </c>
      <c r="Q93" s="221">
        <v>170.1</v>
      </c>
      <c r="R93" s="221"/>
      <c r="S93" s="221"/>
    </row>
    <row r="94" spans="1:19" s="39" customFormat="1" ht="18.75" customHeight="1">
      <c r="A94" s="225" t="s">
        <v>254</v>
      </c>
      <c r="B94" s="49" t="s">
        <v>236</v>
      </c>
      <c r="C94" s="49"/>
      <c r="D94" s="49"/>
      <c r="E94" s="49"/>
      <c r="F94" s="49" t="s">
        <v>252</v>
      </c>
      <c r="G94" s="49" t="s">
        <v>246</v>
      </c>
      <c r="H94" s="49" t="s">
        <v>241</v>
      </c>
      <c r="I94" s="222"/>
      <c r="J94" s="222"/>
      <c r="K94" s="65"/>
      <c r="L94" s="65"/>
      <c r="M94" s="65"/>
      <c r="N94" s="65"/>
      <c r="O94" s="65"/>
      <c r="P94" s="65"/>
      <c r="Q94" s="222"/>
      <c r="R94" s="222"/>
      <c r="S94" s="222"/>
    </row>
    <row r="95" spans="1:19" s="39" customFormat="1" ht="114.75" customHeight="1">
      <c r="A95" s="220" t="s">
        <v>255</v>
      </c>
      <c r="B95" s="49">
        <f>SUM(B96:B104)</f>
        <v>15</v>
      </c>
      <c r="C95" s="49">
        <f>SUM(C96:C104)</f>
        <v>1</v>
      </c>
      <c r="D95" s="49">
        <f>SUM(D96:D104)</f>
        <v>2</v>
      </c>
      <c r="E95" s="49">
        <f>SUM(E96:E104)</f>
        <v>12</v>
      </c>
      <c r="F95" s="49"/>
      <c r="G95" s="49"/>
      <c r="H95" s="49"/>
      <c r="I95" s="222">
        <f>SUM(I96:I104)</f>
        <v>349.70000000000005</v>
      </c>
      <c r="J95" s="222">
        <f aca="true" t="shared" si="40" ref="J95:P95">SUM(J96:J104)</f>
        <v>652926.96</v>
      </c>
      <c r="K95" s="217">
        <f t="shared" si="40"/>
        <v>0</v>
      </c>
      <c r="L95" s="217">
        <f t="shared" si="40"/>
        <v>0</v>
      </c>
      <c r="M95" s="217">
        <f t="shared" si="40"/>
        <v>0</v>
      </c>
      <c r="N95" s="217">
        <f t="shared" si="40"/>
        <v>0</v>
      </c>
      <c r="O95" s="217">
        <f t="shared" si="40"/>
        <v>349.70000000000005</v>
      </c>
      <c r="P95" s="217">
        <f t="shared" si="40"/>
        <v>349.70000000000005</v>
      </c>
      <c r="Q95" s="221">
        <v>338.5</v>
      </c>
      <c r="R95" s="221"/>
      <c r="S95" s="221"/>
    </row>
    <row r="96" spans="1:19" s="39" customFormat="1" ht="15.75" customHeight="1">
      <c r="A96" s="220" t="s">
        <v>14</v>
      </c>
      <c r="B96" s="49">
        <f>C96+D96+E96</f>
        <v>13</v>
      </c>
      <c r="C96" s="49">
        <v>0</v>
      </c>
      <c r="D96" s="49">
        <v>2</v>
      </c>
      <c r="E96" s="49">
        <v>11</v>
      </c>
      <c r="F96" s="49">
        <v>597</v>
      </c>
      <c r="G96" s="49">
        <v>2.5</v>
      </c>
      <c r="H96" s="49">
        <v>1.302</v>
      </c>
      <c r="I96" s="222">
        <f aca="true" t="shared" si="41" ref="I96:I104">ROUND(B96*F96*G96*H96*12/1000,1)</f>
        <v>303.1</v>
      </c>
      <c r="J96" s="222">
        <v>489695.2200000001</v>
      </c>
      <c r="K96" s="65"/>
      <c r="L96" s="65"/>
      <c r="M96" s="65"/>
      <c r="N96" s="65"/>
      <c r="O96" s="47">
        <f>I96</f>
        <v>303.1</v>
      </c>
      <c r="P96" s="47">
        <f>O96</f>
        <v>303.1</v>
      </c>
      <c r="Q96" s="221">
        <v>293.4</v>
      </c>
      <c r="R96" s="221"/>
      <c r="S96" s="221"/>
    </row>
    <row r="97" spans="1:19" s="39" customFormat="1" ht="15.75" customHeight="1">
      <c r="A97" s="220" t="s">
        <v>113</v>
      </c>
      <c r="B97" s="49">
        <f aca="true" t="shared" si="42" ref="B97:B104">C97+D97+E97</f>
        <v>2</v>
      </c>
      <c r="C97" s="49">
        <v>1</v>
      </c>
      <c r="D97" s="49">
        <v>0</v>
      </c>
      <c r="E97" s="49">
        <v>1</v>
      </c>
      <c r="F97" s="49">
        <v>597</v>
      </c>
      <c r="G97" s="49">
        <v>2.5</v>
      </c>
      <c r="H97" s="49">
        <v>1.302</v>
      </c>
      <c r="I97" s="222">
        <f t="shared" si="41"/>
        <v>46.6</v>
      </c>
      <c r="J97" s="222">
        <v>69956.45999999999</v>
      </c>
      <c r="K97" s="65"/>
      <c r="L97" s="65"/>
      <c r="M97" s="65"/>
      <c r="N97" s="65"/>
      <c r="O97" s="47">
        <f aca="true" t="shared" si="43" ref="O97:O104">I97</f>
        <v>46.6</v>
      </c>
      <c r="P97" s="47">
        <f aca="true" t="shared" si="44" ref="P97:P104">O97</f>
        <v>46.6</v>
      </c>
      <c r="Q97" s="221">
        <v>45.1</v>
      </c>
      <c r="R97" s="221"/>
      <c r="S97" s="221"/>
    </row>
    <row r="98" spans="1:19" s="39" customFormat="1" ht="15.75" customHeight="1">
      <c r="A98" s="220" t="s">
        <v>109</v>
      </c>
      <c r="B98" s="49">
        <f t="shared" si="42"/>
        <v>0</v>
      </c>
      <c r="C98" s="49">
        <v>0</v>
      </c>
      <c r="D98" s="49">
        <v>0</v>
      </c>
      <c r="E98" s="49">
        <v>0</v>
      </c>
      <c r="F98" s="49">
        <v>597</v>
      </c>
      <c r="G98" s="49">
        <v>2.5</v>
      </c>
      <c r="H98" s="49">
        <v>1.302</v>
      </c>
      <c r="I98" s="222">
        <f t="shared" si="41"/>
        <v>0</v>
      </c>
      <c r="J98" s="222">
        <v>0</v>
      </c>
      <c r="K98" s="65"/>
      <c r="L98" s="65"/>
      <c r="M98" s="65"/>
      <c r="N98" s="65"/>
      <c r="O98" s="47">
        <f t="shared" si="43"/>
        <v>0</v>
      </c>
      <c r="P98" s="47">
        <f t="shared" si="44"/>
        <v>0</v>
      </c>
      <c r="Q98" s="221">
        <f>J98/1000</f>
        <v>0</v>
      </c>
      <c r="R98" s="221"/>
      <c r="S98" s="221"/>
    </row>
    <row r="99" spans="1:19" s="39" customFormat="1" ht="15.75" customHeight="1">
      <c r="A99" s="220" t="s">
        <v>116</v>
      </c>
      <c r="B99" s="49">
        <f t="shared" si="42"/>
        <v>0</v>
      </c>
      <c r="C99" s="49">
        <v>0</v>
      </c>
      <c r="D99" s="49">
        <v>0</v>
      </c>
      <c r="E99" s="49">
        <v>0</v>
      </c>
      <c r="F99" s="49">
        <v>597</v>
      </c>
      <c r="G99" s="49">
        <v>2.7</v>
      </c>
      <c r="H99" s="49">
        <v>1.302</v>
      </c>
      <c r="I99" s="222">
        <f t="shared" si="41"/>
        <v>0</v>
      </c>
      <c r="J99" s="222">
        <v>0</v>
      </c>
      <c r="K99" s="65"/>
      <c r="L99" s="65"/>
      <c r="M99" s="65"/>
      <c r="N99" s="65"/>
      <c r="O99" s="47">
        <f t="shared" si="43"/>
        <v>0</v>
      </c>
      <c r="P99" s="47">
        <f t="shared" si="44"/>
        <v>0</v>
      </c>
      <c r="Q99" s="221">
        <f>J99/1000</f>
        <v>0</v>
      </c>
      <c r="R99" s="221"/>
      <c r="S99" s="221"/>
    </row>
    <row r="100" spans="1:19" s="39" customFormat="1" ht="15.75" customHeight="1">
      <c r="A100" s="220" t="s">
        <v>112</v>
      </c>
      <c r="B100" s="49">
        <f t="shared" si="42"/>
        <v>0</v>
      </c>
      <c r="C100" s="49">
        <v>0</v>
      </c>
      <c r="D100" s="49">
        <v>0</v>
      </c>
      <c r="E100" s="49">
        <v>0</v>
      </c>
      <c r="F100" s="49">
        <v>597</v>
      </c>
      <c r="G100" s="49">
        <v>2.5</v>
      </c>
      <c r="H100" s="49">
        <v>1.302</v>
      </c>
      <c r="I100" s="222">
        <f t="shared" si="41"/>
        <v>0</v>
      </c>
      <c r="J100" s="222">
        <v>0</v>
      </c>
      <c r="K100" s="65"/>
      <c r="L100" s="65"/>
      <c r="M100" s="65"/>
      <c r="N100" s="65"/>
      <c r="O100" s="47">
        <f t="shared" si="43"/>
        <v>0</v>
      </c>
      <c r="P100" s="47">
        <f t="shared" si="44"/>
        <v>0</v>
      </c>
      <c r="Q100" s="221">
        <f>J100/1000</f>
        <v>0</v>
      </c>
      <c r="R100" s="221"/>
      <c r="S100" s="221"/>
    </row>
    <row r="101" spans="1:19" s="39" customFormat="1" ht="15.75" customHeight="1">
      <c r="A101" s="220" t="s">
        <v>117</v>
      </c>
      <c r="B101" s="49">
        <f t="shared" si="42"/>
        <v>0</v>
      </c>
      <c r="C101" s="49">
        <v>0</v>
      </c>
      <c r="D101" s="49">
        <v>0</v>
      </c>
      <c r="E101" s="49">
        <v>0</v>
      </c>
      <c r="F101" s="49">
        <v>597</v>
      </c>
      <c r="G101" s="49">
        <v>2.5</v>
      </c>
      <c r="H101" s="49">
        <v>1.302</v>
      </c>
      <c r="I101" s="222">
        <f t="shared" si="41"/>
        <v>0</v>
      </c>
      <c r="J101" s="222">
        <v>46637.64</v>
      </c>
      <c r="K101" s="65"/>
      <c r="L101" s="65"/>
      <c r="M101" s="65"/>
      <c r="N101" s="65"/>
      <c r="O101" s="47">
        <f t="shared" si="43"/>
        <v>0</v>
      </c>
      <c r="P101" s="47">
        <f t="shared" si="44"/>
        <v>0</v>
      </c>
      <c r="Q101" s="221">
        <v>0</v>
      </c>
      <c r="R101" s="221"/>
      <c r="S101" s="221"/>
    </row>
    <row r="102" spans="1:19" s="39" customFormat="1" ht="15.75" customHeight="1">
      <c r="A102" s="220" t="s">
        <v>118</v>
      </c>
      <c r="B102" s="49">
        <f t="shared" si="42"/>
        <v>0</v>
      </c>
      <c r="C102" s="49">
        <v>0</v>
      </c>
      <c r="D102" s="49">
        <v>0</v>
      </c>
      <c r="E102" s="49">
        <v>0</v>
      </c>
      <c r="F102" s="49">
        <v>597</v>
      </c>
      <c r="G102" s="49">
        <v>2.5</v>
      </c>
      <c r="H102" s="49">
        <v>1.302</v>
      </c>
      <c r="I102" s="222">
        <f t="shared" si="41"/>
        <v>0</v>
      </c>
      <c r="J102" s="222">
        <v>23318.82</v>
      </c>
      <c r="K102" s="65"/>
      <c r="L102" s="65"/>
      <c r="M102" s="65"/>
      <c r="N102" s="65"/>
      <c r="O102" s="47">
        <f t="shared" si="43"/>
        <v>0</v>
      </c>
      <c r="P102" s="47">
        <f t="shared" si="44"/>
        <v>0</v>
      </c>
      <c r="Q102" s="221">
        <v>0</v>
      </c>
      <c r="R102" s="221"/>
      <c r="S102" s="221"/>
    </row>
    <row r="103" spans="1:19" s="39" customFormat="1" ht="15.75" customHeight="1">
      <c r="A103" s="220" t="s">
        <v>119</v>
      </c>
      <c r="B103" s="49">
        <f t="shared" si="42"/>
        <v>0</v>
      </c>
      <c r="C103" s="49">
        <v>0</v>
      </c>
      <c r="D103" s="49">
        <v>0</v>
      </c>
      <c r="E103" s="49">
        <v>0</v>
      </c>
      <c r="F103" s="49">
        <v>597</v>
      </c>
      <c r="G103" s="49">
        <v>2.5</v>
      </c>
      <c r="H103" s="49">
        <v>1.302</v>
      </c>
      <c r="I103" s="222">
        <f t="shared" si="41"/>
        <v>0</v>
      </c>
      <c r="J103" s="222">
        <v>0</v>
      </c>
      <c r="K103" s="65"/>
      <c r="L103" s="65"/>
      <c r="M103" s="65"/>
      <c r="N103" s="65"/>
      <c r="O103" s="47">
        <f t="shared" si="43"/>
        <v>0</v>
      </c>
      <c r="P103" s="47">
        <f t="shared" si="44"/>
        <v>0</v>
      </c>
      <c r="Q103" s="221">
        <v>0</v>
      </c>
      <c r="R103" s="221"/>
      <c r="S103" s="221"/>
    </row>
    <row r="104" spans="1:19" s="39" customFormat="1" ht="15.75" customHeight="1">
      <c r="A104" s="220" t="s">
        <v>120</v>
      </c>
      <c r="B104" s="49">
        <f t="shared" si="42"/>
        <v>0</v>
      </c>
      <c r="C104" s="49">
        <v>0</v>
      </c>
      <c r="D104" s="49">
        <v>0</v>
      </c>
      <c r="E104" s="49">
        <v>0</v>
      </c>
      <c r="F104" s="49">
        <v>597</v>
      </c>
      <c r="G104" s="49">
        <v>2.5</v>
      </c>
      <c r="H104" s="49">
        <v>1.302</v>
      </c>
      <c r="I104" s="222">
        <f t="shared" si="41"/>
        <v>0</v>
      </c>
      <c r="J104" s="222">
        <v>23318.82</v>
      </c>
      <c r="K104" s="65"/>
      <c r="L104" s="65"/>
      <c r="M104" s="65"/>
      <c r="N104" s="65"/>
      <c r="O104" s="47">
        <f t="shared" si="43"/>
        <v>0</v>
      </c>
      <c r="P104" s="47">
        <f t="shared" si="44"/>
        <v>0</v>
      </c>
      <c r="Q104" s="221">
        <v>0</v>
      </c>
      <c r="R104" s="221"/>
      <c r="S104" s="221"/>
    </row>
    <row r="105" spans="1:19" s="39" customFormat="1" ht="15.75" customHeight="1">
      <c r="A105" s="225" t="s">
        <v>256</v>
      </c>
      <c r="B105" s="49" t="s">
        <v>236</v>
      </c>
      <c r="C105" s="49"/>
      <c r="D105" s="49"/>
      <c r="E105" s="49"/>
      <c r="F105" s="49" t="s">
        <v>252</v>
      </c>
      <c r="G105" s="49" t="s">
        <v>246</v>
      </c>
      <c r="H105" s="49" t="s">
        <v>241</v>
      </c>
      <c r="I105" s="222"/>
      <c r="J105" s="222"/>
      <c r="K105" s="65"/>
      <c r="L105" s="65"/>
      <c r="M105" s="65"/>
      <c r="N105" s="65"/>
      <c r="O105" s="65"/>
      <c r="P105" s="65"/>
      <c r="Q105" s="222"/>
      <c r="R105" s="222"/>
      <c r="S105" s="222"/>
    </row>
    <row r="106" spans="1:19" s="39" customFormat="1" ht="118.5" customHeight="1">
      <c r="A106" s="220" t="s">
        <v>257</v>
      </c>
      <c r="B106" s="49">
        <f>SUM(B107:B115)</f>
        <v>94</v>
      </c>
      <c r="C106" s="49">
        <f>SUM(C107:C115)</f>
        <v>19</v>
      </c>
      <c r="D106" s="49">
        <f>SUM(D107:D115)</f>
        <v>11</v>
      </c>
      <c r="E106" s="49">
        <f>SUM(E107:E115)</f>
        <v>64</v>
      </c>
      <c r="F106" s="49"/>
      <c r="G106" s="49"/>
      <c r="H106" s="49"/>
      <c r="I106" s="222">
        <f aca="true" t="shared" si="45" ref="I106:P106">SUM(I107:I115)</f>
        <v>1097.8999999999999</v>
      </c>
      <c r="J106" s="222">
        <f t="shared" si="45"/>
        <v>1343078.0999999999</v>
      </c>
      <c r="K106" s="217">
        <f t="shared" si="45"/>
        <v>0</v>
      </c>
      <c r="L106" s="217">
        <f t="shared" si="45"/>
        <v>0</v>
      </c>
      <c r="M106" s="217">
        <f t="shared" si="45"/>
        <v>0</v>
      </c>
      <c r="N106" s="217">
        <f t="shared" si="45"/>
        <v>0</v>
      </c>
      <c r="O106" s="217">
        <f t="shared" si="45"/>
        <v>1097.8999999999999</v>
      </c>
      <c r="P106" s="217">
        <f t="shared" si="45"/>
        <v>1097.8999999999999</v>
      </c>
      <c r="Q106" s="221">
        <v>1062.3</v>
      </c>
      <c r="R106" s="221"/>
      <c r="S106" s="221"/>
    </row>
    <row r="107" spans="1:19" s="39" customFormat="1" ht="15.75" customHeight="1">
      <c r="A107" s="220" t="s">
        <v>14</v>
      </c>
      <c r="B107" s="49">
        <f>C107+D107+E107</f>
        <v>56</v>
      </c>
      <c r="C107" s="49">
        <v>11</v>
      </c>
      <c r="D107" s="49">
        <v>6</v>
      </c>
      <c r="E107" s="49">
        <v>39</v>
      </c>
      <c r="F107" s="49">
        <v>299</v>
      </c>
      <c r="G107" s="49">
        <v>2.5</v>
      </c>
      <c r="H107" s="49">
        <v>1.302</v>
      </c>
      <c r="I107" s="222">
        <f>ROUND(B107*F107*G107*H107*12/1000,1)</f>
        <v>654</v>
      </c>
      <c r="J107" s="222">
        <v>805846.86</v>
      </c>
      <c r="K107" s="65"/>
      <c r="L107" s="65"/>
      <c r="M107" s="65"/>
      <c r="N107" s="65"/>
      <c r="O107" s="47">
        <f>I107</f>
        <v>654</v>
      </c>
      <c r="P107" s="47">
        <f>O107</f>
        <v>654</v>
      </c>
      <c r="Q107" s="221">
        <v>632.9</v>
      </c>
      <c r="R107" s="221"/>
      <c r="S107" s="221"/>
    </row>
    <row r="108" spans="1:19" s="39" customFormat="1" ht="15.75" customHeight="1">
      <c r="A108" s="220" t="s">
        <v>113</v>
      </c>
      <c r="B108" s="49">
        <f aca="true" t="shared" si="46" ref="B108:B115">C108+D108+E108</f>
        <v>10</v>
      </c>
      <c r="C108" s="49">
        <v>4</v>
      </c>
      <c r="D108" s="49">
        <v>0</v>
      </c>
      <c r="E108" s="49">
        <v>6</v>
      </c>
      <c r="F108" s="49">
        <v>299</v>
      </c>
      <c r="G108" s="49">
        <v>2.5</v>
      </c>
      <c r="H108" s="49">
        <v>1.302</v>
      </c>
      <c r="I108" s="222">
        <f aca="true" t="shared" si="47" ref="I108:I115">ROUND(B108*F108*G108*H108*12/1000,1)</f>
        <v>116.8</v>
      </c>
      <c r="J108" s="222">
        <v>151826.22000000003</v>
      </c>
      <c r="K108" s="65"/>
      <c r="L108" s="65"/>
      <c r="M108" s="65"/>
      <c r="N108" s="65"/>
      <c r="O108" s="47">
        <f aca="true" t="shared" si="48" ref="O108:O115">I108</f>
        <v>116.8</v>
      </c>
      <c r="P108" s="47">
        <f aca="true" t="shared" si="49" ref="P108:P115">O108</f>
        <v>116.8</v>
      </c>
      <c r="Q108" s="221">
        <v>113</v>
      </c>
      <c r="R108" s="221"/>
      <c r="S108" s="221"/>
    </row>
    <row r="109" spans="1:19" s="39" customFormat="1" ht="15.75" customHeight="1">
      <c r="A109" s="220" t="s">
        <v>109</v>
      </c>
      <c r="B109" s="49">
        <f t="shared" si="46"/>
        <v>0</v>
      </c>
      <c r="C109" s="49">
        <v>0</v>
      </c>
      <c r="D109" s="49">
        <v>0</v>
      </c>
      <c r="E109" s="49">
        <v>0</v>
      </c>
      <c r="F109" s="49">
        <v>299</v>
      </c>
      <c r="G109" s="49">
        <v>2.5</v>
      </c>
      <c r="H109" s="49">
        <v>1.302</v>
      </c>
      <c r="I109" s="222">
        <f t="shared" si="47"/>
        <v>0</v>
      </c>
      <c r="J109" s="222">
        <v>0</v>
      </c>
      <c r="K109" s="65"/>
      <c r="L109" s="65"/>
      <c r="M109" s="65"/>
      <c r="N109" s="65"/>
      <c r="O109" s="47">
        <f t="shared" si="48"/>
        <v>0</v>
      </c>
      <c r="P109" s="47">
        <f t="shared" si="49"/>
        <v>0</v>
      </c>
      <c r="Q109" s="221">
        <v>0</v>
      </c>
      <c r="R109" s="221"/>
      <c r="S109" s="221"/>
    </row>
    <row r="110" spans="1:19" s="39" customFormat="1" ht="15.75" customHeight="1">
      <c r="A110" s="220" t="s">
        <v>116</v>
      </c>
      <c r="B110" s="49">
        <f t="shared" si="46"/>
        <v>0</v>
      </c>
      <c r="C110" s="49">
        <v>0</v>
      </c>
      <c r="D110" s="49">
        <v>0</v>
      </c>
      <c r="E110" s="49">
        <v>0</v>
      </c>
      <c r="F110" s="49">
        <v>299</v>
      </c>
      <c r="G110" s="49">
        <v>2.7</v>
      </c>
      <c r="H110" s="49">
        <v>1.302</v>
      </c>
      <c r="I110" s="222">
        <f t="shared" si="47"/>
        <v>0</v>
      </c>
      <c r="J110" s="222">
        <v>0</v>
      </c>
      <c r="K110" s="65"/>
      <c r="L110" s="65"/>
      <c r="M110" s="65"/>
      <c r="N110" s="65"/>
      <c r="O110" s="47">
        <f t="shared" si="48"/>
        <v>0</v>
      </c>
      <c r="P110" s="47">
        <f t="shared" si="49"/>
        <v>0</v>
      </c>
      <c r="Q110" s="221">
        <f>J110/1000</f>
        <v>0</v>
      </c>
      <c r="R110" s="221"/>
      <c r="S110" s="221"/>
    </row>
    <row r="111" spans="1:19" s="39" customFormat="1" ht="15.75" customHeight="1">
      <c r="A111" s="220" t="s">
        <v>112</v>
      </c>
      <c r="B111" s="49">
        <f t="shared" si="46"/>
        <v>0</v>
      </c>
      <c r="C111" s="49">
        <v>0</v>
      </c>
      <c r="D111" s="49">
        <v>0</v>
      </c>
      <c r="E111" s="49">
        <v>0</v>
      </c>
      <c r="F111" s="49">
        <v>299</v>
      </c>
      <c r="G111" s="49">
        <v>2.5</v>
      </c>
      <c r="H111" s="49">
        <v>1.302</v>
      </c>
      <c r="I111" s="222">
        <f t="shared" si="47"/>
        <v>0</v>
      </c>
      <c r="J111" s="222">
        <v>0</v>
      </c>
      <c r="K111" s="65"/>
      <c r="L111" s="65"/>
      <c r="M111" s="65"/>
      <c r="N111" s="65"/>
      <c r="O111" s="47">
        <f t="shared" si="48"/>
        <v>0</v>
      </c>
      <c r="P111" s="47">
        <f t="shared" si="49"/>
        <v>0</v>
      </c>
      <c r="Q111" s="221">
        <f>J111/1000</f>
        <v>0</v>
      </c>
      <c r="R111" s="221"/>
      <c r="S111" s="221"/>
    </row>
    <row r="112" spans="1:19" s="39" customFormat="1" ht="15.75" customHeight="1">
      <c r="A112" s="220" t="s">
        <v>117</v>
      </c>
      <c r="B112" s="49">
        <f t="shared" si="46"/>
        <v>8</v>
      </c>
      <c r="C112" s="49">
        <v>1</v>
      </c>
      <c r="D112" s="49">
        <v>3</v>
      </c>
      <c r="E112" s="49">
        <v>4</v>
      </c>
      <c r="F112" s="49">
        <v>299</v>
      </c>
      <c r="G112" s="49">
        <v>2.5</v>
      </c>
      <c r="H112" s="49">
        <v>1.302</v>
      </c>
      <c r="I112" s="222">
        <f t="shared" si="47"/>
        <v>93.4</v>
      </c>
      <c r="J112" s="222">
        <v>116789.40000000001</v>
      </c>
      <c r="K112" s="65"/>
      <c r="L112" s="65"/>
      <c r="M112" s="65"/>
      <c r="N112" s="65"/>
      <c r="O112" s="47">
        <f t="shared" si="48"/>
        <v>93.4</v>
      </c>
      <c r="P112" s="47">
        <f t="shared" si="49"/>
        <v>93.4</v>
      </c>
      <c r="Q112" s="221">
        <v>90.4</v>
      </c>
      <c r="R112" s="221"/>
      <c r="S112" s="221"/>
    </row>
    <row r="113" spans="1:19" s="39" customFormat="1" ht="15.75" customHeight="1">
      <c r="A113" s="220" t="s">
        <v>118</v>
      </c>
      <c r="B113" s="49">
        <f t="shared" si="46"/>
        <v>6</v>
      </c>
      <c r="C113" s="49">
        <v>2</v>
      </c>
      <c r="D113" s="49">
        <v>0</v>
      </c>
      <c r="E113" s="49">
        <v>4</v>
      </c>
      <c r="F113" s="49">
        <v>299</v>
      </c>
      <c r="G113" s="49">
        <v>2.5</v>
      </c>
      <c r="H113" s="49">
        <v>1.302</v>
      </c>
      <c r="I113" s="222">
        <f t="shared" si="47"/>
        <v>70.1</v>
      </c>
      <c r="J113" s="222">
        <v>70073.64</v>
      </c>
      <c r="K113" s="65"/>
      <c r="L113" s="65"/>
      <c r="M113" s="65"/>
      <c r="N113" s="65"/>
      <c r="O113" s="47">
        <f t="shared" si="48"/>
        <v>70.1</v>
      </c>
      <c r="P113" s="47">
        <f t="shared" si="49"/>
        <v>70.1</v>
      </c>
      <c r="Q113" s="221">
        <v>67.8</v>
      </c>
      <c r="R113" s="221"/>
      <c r="S113" s="221"/>
    </row>
    <row r="114" spans="1:19" s="39" customFormat="1" ht="15.75" customHeight="1">
      <c r="A114" s="220" t="s">
        <v>119</v>
      </c>
      <c r="B114" s="49">
        <f t="shared" si="46"/>
        <v>7</v>
      </c>
      <c r="C114" s="49">
        <v>1</v>
      </c>
      <c r="D114" s="49">
        <v>2</v>
      </c>
      <c r="E114" s="49">
        <v>4</v>
      </c>
      <c r="F114" s="49">
        <v>299</v>
      </c>
      <c r="G114" s="49">
        <v>2.5</v>
      </c>
      <c r="H114" s="49">
        <v>1.302</v>
      </c>
      <c r="I114" s="222">
        <f t="shared" si="47"/>
        <v>81.8</v>
      </c>
      <c r="J114" s="222">
        <v>93431.52</v>
      </c>
      <c r="K114" s="65"/>
      <c r="L114" s="65"/>
      <c r="M114" s="65"/>
      <c r="N114" s="65"/>
      <c r="O114" s="47">
        <f t="shared" si="48"/>
        <v>81.8</v>
      </c>
      <c r="P114" s="47">
        <f t="shared" si="49"/>
        <v>81.8</v>
      </c>
      <c r="Q114" s="221">
        <v>79.1</v>
      </c>
      <c r="R114" s="221"/>
      <c r="S114" s="221"/>
    </row>
    <row r="115" spans="1:19" s="39" customFormat="1" ht="15.75" customHeight="1">
      <c r="A115" s="220" t="s">
        <v>120</v>
      </c>
      <c r="B115" s="49">
        <f t="shared" si="46"/>
        <v>7</v>
      </c>
      <c r="C115" s="49">
        <v>0</v>
      </c>
      <c r="D115" s="49">
        <v>0</v>
      </c>
      <c r="E115" s="49">
        <v>7</v>
      </c>
      <c r="F115" s="49">
        <v>299</v>
      </c>
      <c r="G115" s="49">
        <v>2.5</v>
      </c>
      <c r="H115" s="49">
        <v>1.302</v>
      </c>
      <c r="I115" s="222">
        <f t="shared" si="47"/>
        <v>81.8</v>
      </c>
      <c r="J115" s="222">
        <v>105110.45999999999</v>
      </c>
      <c r="K115" s="65"/>
      <c r="L115" s="65"/>
      <c r="M115" s="65"/>
      <c r="N115" s="65"/>
      <c r="O115" s="47">
        <f t="shared" si="48"/>
        <v>81.8</v>
      </c>
      <c r="P115" s="47">
        <f t="shared" si="49"/>
        <v>81.8</v>
      </c>
      <c r="Q115" s="221">
        <v>79.1</v>
      </c>
      <c r="R115" s="221"/>
      <c r="S115" s="221"/>
    </row>
    <row r="116" spans="1:19" s="39" customFormat="1" ht="33" customHeight="1">
      <c r="A116" s="216" t="s">
        <v>258</v>
      </c>
      <c r="B116" s="49" t="s">
        <v>259</v>
      </c>
      <c r="C116" s="49"/>
      <c r="D116" s="49"/>
      <c r="E116" s="49"/>
      <c r="F116" s="49" t="s">
        <v>260</v>
      </c>
      <c r="G116" s="49" t="s">
        <v>246</v>
      </c>
      <c r="H116" s="49" t="s">
        <v>241</v>
      </c>
      <c r="I116" s="222"/>
      <c r="J116" s="222"/>
      <c r="K116" s="65"/>
      <c r="L116" s="65"/>
      <c r="M116" s="65"/>
      <c r="N116" s="65"/>
      <c r="O116" s="65"/>
      <c r="P116" s="65"/>
      <c r="Q116" s="222"/>
      <c r="R116" s="222"/>
      <c r="S116" s="222"/>
    </row>
    <row r="117" spans="1:19" s="39" customFormat="1" ht="78" customHeight="1">
      <c r="A117" s="220" t="s">
        <v>261</v>
      </c>
      <c r="B117" s="49"/>
      <c r="C117" s="49"/>
      <c r="D117" s="49"/>
      <c r="E117" s="49"/>
      <c r="F117" s="49"/>
      <c r="G117" s="49"/>
      <c r="H117" s="49"/>
      <c r="I117" s="222">
        <f>I118+I128</f>
        <v>839.5999999999999</v>
      </c>
      <c r="J117" s="222">
        <f aca="true" t="shared" si="50" ref="J117:P117">J118+J128</f>
        <v>863715.0312000001</v>
      </c>
      <c r="K117" s="219">
        <f t="shared" si="50"/>
        <v>0</v>
      </c>
      <c r="L117" s="219">
        <f t="shared" si="50"/>
        <v>0</v>
      </c>
      <c r="M117" s="219">
        <f t="shared" si="50"/>
        <v>0</v>
      </c>
      <c r="N117" s="219">
        <f t="shared" si="50"/>
        <v>0</v>
      </c>
      <c r="O117" s="219">
        <f t="shared" si="50"/>
        <v>839.5999999999999</v>
      </c>
      <c r="P117" s="219">
        <f t="shared" si="50"/>
        <v>839.5999999999999</v>
      </c>
      <c r="Q117" s="221">
        <v>835.7</v>
      </c>
      <c r="R117" s="221"/>
      <c r="S117" s="221"/>
    </row>
    <row r="118" spans="1:19" s="39" customFormat="1" ht="15.75" customHeight="1">
      <c r="A118" s="220" t="s">
        <v>262</v>
      </c>
      <c r="B118" s="49">
        <f>SUM(B119:B127)</f>
        <v>21</v>
      </c>
      <c r="C118" s="49">
        <f>SUM(C119:C127)</f>
        <v>0</v>
      </c>
      <c r="D118" s="49">
        <f>SUM(D119:D127)</f>
        <v>1</v>
      </c>
      <c r="E118" s="49">
        <f>SUM(E119:E127)</f>
        <v>20</v>
      </c>
      <c r="F118" s="49"/>
      <c r="G118" s="49"/>
      <c r="H118" s="49"/>
      <c r="I118" s="222">
        <f>SUM(I119:I127)</f>
        <v>594.9999999999999</v>
      </c>
      <c r="J118" s="222">
        <f aca="true" t="shared" si="51" ref="J118:P118">SUM(J119:J127)</f>
        <v>615068.4456000001</v>
      </c>
      <c r="K118" s="219">
        <f t="shared" si="51"/>
        <v>0</v>
      </c>
      <c r="L118" s="219">
        <f t="shared" si="51"/>
        <v>0</v>
      </c>
      <c r="M118" s="219">
        <f t="shared" si="51"/>
        <v>0</v>
      </c>
      <c r="N118" s="219">
        <f t="shared" si="51"/>
        <v>0</v>
      </c>
      <c r="O118" s="219">
        <f t="shared" si="51"/>
        <v>594.9999999999999</v>
      </c>
      <c r="P118" s="219">
        <f t="shared" si="51"/>
        <v>594.9999999999999</v>
      </c>
      <c r="Q118" s="221">
        <v>595</v>
      </c>
      <c r="R118" s="221"/>
      <c r="S118" s="221"/>
    </row>
    <row r="119" spans="1:19" s="39" customFormat="1" ht="15.75" customHeight="1">
      <c r="A119" s="220" t="s">
        <v>14</v>
      </c>
      <c r="B119" s="49">
        <f>C119+D119+E119</f>
        <v>1</v>
      </c>
      <c r="C119" s="49">
        <v>0</v>
      </c>
      <c r="D119" s="49">
        <v>0</v>
      </c>
      <c r="E119" s="49">
        <v>1</v>
      </c>
      <c r="F119" s="49">
        <v>747</v>
      </c>
      <c r="G119" s="49">
        <v>2.5</v>
      </c>
      <c r="H119" s="49">
        <v>1.26</v>
      </c>
      <c r="I119" s="222">
        <f>ROUND(B119*F119*G119*H119*12/1000,1)</f>
        <v>28.2</v>
      </c>
      <c r="J119" s="222">
        <v>29177.82</v>
      </c>
      <c r="K119" s="65"/>
      <c r="L119" s="65"/>
      <c r="M119" s="65"/>
      <c r="N119" s="65"/>
      <c r="O119" s="47">
        <f>I119</f>
        <v>28.2</v>
      </c>
      <c r="P119" s="47">
        <f>O119</f>
        <v>28.2</v>
      </c>
      <c r="Q119" s="221">
        <v>28.2</v>
      </c>
      <c r="R119" s="221"/>
      <c r="S119" s="221"/>
    </row>
    <row r="120" spans="1:19" s="39" customFormat="1" ht="15.75" customHeight="1">
      <c r="A120" s="220" t="s">
        <v>113</v>
      </c>
      <c r="B120" s="49">
        <f aca="true" t="shared" si="52" ref="B120:B127">C120+D120+E120</f>
        <v>4</v>
      </c>
      <c r="C120" s="49">
        <v>0</v>
      </c>
      <c r="D120" s="49">
        <v>0</v>
      </c>
      <c r="E120" s="49">
        <v>4</v>
      </c>
      <c r="F120" s="49">
        <v>747</v>
      </c>
      <c r="G120" s="49">
        <v>2.5</v>
      </c>
      <c r="H120" s="49">
        <v>1.26</v>
      </c>
      <c r="I120" s="222">
        <f aca="true" t="shared" si="53" ref="I120:I127">ROUND(B120*F120*G120*H120*12/1000,1)</f>
        <v>112.9</v>
      </c>
      <c r="J120" s="222">
        <v>116711.28</v>
      </c>
      <c r="K120" s="65"/>
      <c r="L120" s="65"/>
      <c r="M120" s="65"/>
      <c r="N120" s="65"/>
      <c r="O120" s="47">
        <f aca="true" t="shared" si="54" ref="O120:O127">I120</f>
        <v>112.9</v>
      </c>
      <c r="P120" s="47">
        <f aca="true" t="shared" si="55" ref="P120:P127">O120</f>
        <v>112.9</v>
      </c>
      <c r="Q120" s="221">
        <v>112.9</v>
      </c>
      <c r="R120" s="221"/>
      <c r="S120" s="221"/>
    </row>
    <row r="121" spans="1:19" s="39" customFormat="1" ht="15.75" customHeight="1">
      <c r="A121" s="220" t="s">
        <v>109</v>
      </c>
      <c r="B121" s="49">
        <f t="shared" si="52"/>
        <v>1</v>
      </c>
      <c r="C121" s="49">
        <v>0</v>
      </c>
      <c r="D121" s="49">
        <v>0</v>
      </c>
      <c r="E121" s="49">
        <v>1</v>
      </c>
      <c r="F121" s="49">
        <v>747</v>
      </c>
      <c r="G121" s="49">
        <v>2.5</v>
      </c>
      <c r="H121" s="49">
        <v>1.26</v>
      </c>
      <c r="I121" s="222">
        <f t="shared" si="53"/>
        <v>28.2</v>
      </c>
      <c r="J121" s="222">
        <v>29177.82</v>
      </c>
      <c r="K121" s="65"/>
      <c r="L121" s="65"/>
      <c r="M121" s="65"/>
      <c r="N121" s="65"/>
      <c r="O121" s="47">
        <f t="shared" si="54"/>
        <v>28.2</v>
      </c>
      <c r="P121" s="47">
        <f t="shared" si="55"/>
        <v>28.2</v>
      </c>
      <c r="Q121" s="221">
        <v>28.2</v>
      </c>
      <c r="R121" s="221"/>
      <c r="S121" s="221"/>
    </row>
    <row r="122" spans="1:19" s="39" customFormat="1" ht="15.75" customHeight="1">
      <c r="A122" s="220" t="s">
        <v>116</v>
      </c>
      <c r="B122" s="49">
        <f t="shared" si="52"/>
        <v>1</v>
      </c>
      <c r="C122" s="49">
        <v>0</v>
      </c>
      <c r="D122" s="49">
        <v>0</v>
      </c>
      <c r="E122" s="49">
        <v>1</v>
      </c>
      <c r="F122" s="49">
        <v>747</v>
      </c>
      <c r="G122" s="49">
        <v>2.7</v>
      </c>
      <c r="H122" s="49">
        <v>1.26</v>
      </c>
      <c r="I122" s="222">
        <f t="shared" si="53"/>
        <v>30.5</v>
      </c>
      <c r="J122" s="222">
        <v>31512.045600000005</v>
      </c>
      <c r="K122" s="65"/>
      <c r="L122" s="65"/>
      <c r="M122" s="65"/>
      <c r="N122" s="65"/>
      <c r="O122" s="47">
        <f t="shared" si="54"/>
        <v>30.5</v>
      </c>
      <c r="P122" s="47">
        <f t="shared" si="55"/>
        <v>30.5</v>
      </c>
      <c r="Q122" s="221">
        <v>30.5</v>
      </c>
      <c r="R122" s="221"/>
      <c r="S122" s="221"/>
    </row>
    <row r="123" spans="1:19" s="39" customFormat="1" ht="15.75" customHeight="1">
      <c r="A123" s="220" t="s">
        <v>112</v>
      </c>
      <c r="B123" s="49">
        <f t="shared" si="52"/>
        <v>2</v>
      </c>
      <c r="C123" s="49">
        <v>0</v>
      </c>
      <c r="D123" s="49">
        <v>0</v>
      </c>
      <c r="E123" s="49">
        <v>2</v>
      </c>
      <c r="F123" s="49">
        <v>747</v>
      </c>
      <c r="G123" s="49">
        <v>2.5</v>
      </c>
      <c r="H123" s="49">
        <v>1.26</v>
      </c>
      <c r="I123" s="222">
        <f t="shared" si="53"/>
        <v>56.5</v>
      </c>
      <c r="J123" s="222">
        <v>58355.64</v>
      </c>
      <c r="K123" s="65"/>
      <c r="L123" s="65"/>
      <c r="M123" s="65"/>
      <c r="N123" s="65"/>
      <c r="O123" s="47">
        <f t="shared" si="54"/>
        <v>56.5</v>
      </c>
      <c r="P123" s="47">
        <f t="shared" si="55"/>
        <v>56.5</v>
      </c>
      <c r="Q123" s="221">
        <v>56.5</v>
      </c>
      <c r="R123" s="221"/>
      <c r="S123" s="221"/>
    </row>
    <row r="124" spans="1:19" s="39" customFormat="1" ht="15.75" customHeight="1">
      <c r="A124" s="220" t="s">
        <v>117</v>
      </c>
      <c r="B124" s="49">
        <f t="shared" si="52"/>
        <v>4</v>
      </c>
      <c r="C124" s="49">
        <v>0</v>
      </c>
      <c r="D124" s="49">
        <v>1</v>
      </c>
      <c r="E124" s="49">
        <v>3</v>
      </c>
      <c r="F124" s="49">
        <v>747</v>
      </c>
      <c r="G124" s="49">
        <v>2.5</v>
      </c>
      <c r="H124" s="49">
        <v>1.26</v>
      </c>
      <c r="I124" s="222">
        <f t="shared" si="53"/>
        <v>112.9</v>
      </c>
      <c r="J124" s="222">
        <v>116711.28</v>
      </c>
      <c r="K124" s="65"/>
      <c r="L124" s="65"/>
      <c r="M124" s="65"/>
      <c r="N124" s="65"/>
      <c r="O124" s="47">
        <f t="shared" si="54"/>
        <v>112.9</v>
      </c>
      <c r="P124" s="47">
        <f t="shared" si="55"/>
        <v>112.9</v>
      </c>
      <c r="Q124" s="221">
        <v>112.9</v>
      </c>
      <c r="R124" s="221"/>
      <c r="S124" s="221"/>
    </row>
    <row r="125" spans="1:19" s="39" customFormat="1" ht="15.75" customHeight="1">
      <c r="A125" s="220" t="s">
        <v>118</v>
      </c>
      <c r="B125" s="49">
        <f t="shared" si="52"/>
        <v>1</v>
      </c>
      <c r="C125" s="49">
        <v>0</v>
      </c>
      <c r="D125" s="49">
        <v>0</v>
      </c>
      <c r="E125" s="49">
        <v>1</v>
      </c>
      <c r="F125" s="49">
        <v>747</v>
      </c>
      <c r="G125" s="49">
        <v>2.5</v>
      </c>
      <c r="H125" s="49">
        <v>1.26</v>
      </c>
      <c r="I125" s="222">
        <f t="shared" si="53"/>
        <v>28.2</v>
      </c>
      <c r="J125" s="222">
        <v>29177.82</v>
      </c>
      <c r="K125" s="65"/>
      <c r="L125" s="65"/>
      <c r="M125" s="65"/>
      <c r="N125" s="65"/>
      <c r="O125" s="47">
        <f t="shared" si="54"/>
        <v>28.2</v>
      </c>
      <c r="P125" s="47">
        <f t="shared" si="55"/>
        <v>28.2</v>
      </c>
      <c r="Q125" s="221">
        <v>28.2</v>
      </c>
      <c r="R125" s="221"/>
      <c r="S125" s="221"/>
    </row>
    <row r="126" spans="1:19" s="39" customFormat="1" ht="15.75" customHeight="1">
      <c r="A126" s="220" t="s">
        <v>119</v>
      </c>
      <c r="B126" s="49">
        <f t="shared" si="52"/>
        <v>3</v>
      </c>
      <c r="C126" s="49">
        <v>0</v>
      </c>
      <c r="D126" s="49">
        <v>0</v>
      </c>
      <c r="E126" s="49">
        <v>3</v>
      </c>
      <c r="F126" s="49">
        <v>747</v>
      </c>
      <c r="G126" s="49">
        <v>2.5</v>
      </c>
      <c r="H126" s="49">
        <v>1.26</v>
      </c>
      <c r="I126" s="222">
        <f t="shared" si="53"/>
        <v>84.7</v>
      </c>
      <c r="J126" s="222">
        <v>87533.45999999999</v>
      </c>
      <c r="K126" s="65"/>
      <c r="L126" s="65"/>
      <c r="M126" s="65"/>
      <c r="N126" s="65"/>
      <c r="O126" s="47">
        <f t="shared" si="54"/>
        <v>84.7</v>
      </c>
      <c r="P126" s="47">
        <f t="shared" si="55"/>
        <v>84.7</v>
      </c>
      <c r="Q126" s="221">
        <v>84.7</v>
      </c>
      <c r="R126" s="221"/>
      <c r="S126" s="221"/>
    </row>
    <row r="127" spans="1:19" s="39" customFormat="1" ht="15.75" customHeight="1">
      <c r="A127" s="220" t="s">
        <v>120</v>
      </c>
      <c r="B127" s="49">
        <f t="shared" si="52"/>
        <v>4</v>
      </c>
      <c r="C127" s="49">
        <v>0</v>
      </c>
      <c r="D127" s="49">
        <v>0</v>
      </c>
      <c r="E127" s="49">
        <v>4</v>
      </c>
      <c r="F127" s="49">
        <v>747</v>
      </c>
      <c r="G127" s="49">
        <v>2.5</v>
      </c>
      <c r="H127" s="49">
        <v>1.26</v>
      </c>
      <c r="I127" s="222">
        <f t="shared" si="53"/>
        <v>112.9</v>
      </c>
      <c r="J127" s="222">
        <v>116711.28</v>
      </c>
      <c r="K127" s="65"/>
      <c r="L127" s="65"/>
      <c r="M127" s="65"/>
      <c r="N127" s="65"/>
      <c r="O127" s="47">
        <f t="shared" si="54"/>
        <v>112.9</v>
      </c>
      <c r="P127" s="47">
        <f t="shared" si="55"/>
        <v>112.9</v>
      </c>
      <c r="Q127" s="221">
        <v>112.9</v>
      </c>
      <c r="R127" s="221"/>
      <c r="S127" s="221"/>
    </row>
    <row r="128" spans="1:19" s="39" customFormat="1" ht="15.75" customHeight="1">
      <c r="A128" s="220" t="s">
        <v>263</v>
      </c>
      <c r="B128" s="49">
        <f>SUM(B129:B137)</f>
        <v>6</v>
      </c>
      <c r="C128" s="49">
        <f>SUM(C129:C137)</f>
        <v>0</v>
      </c>
      <c r="D128" s="49">
        <f>SUM(D129:D137)</f>
        <v>0</v>
      </c>
      <c r="E128" s="49">
        <f>SUM(E129:E137)</f>
        <v>6</v>
      </c>
      <c r="F128" s="49"/>
      <c r="G128" s="49"/>
      <c r="H128" s="49"/>
      <c r="I128" s="222">
        <f aca="true" t="shared" si="56" ref="I128:P128">SUM(I129:I137)</f>
        <v>244.60000000000002</v>
      </c>
      <c r="J128" s="222">
        <f t="shared" si="56"/>
        <v>248646.5856</v>
      </c>
      <c r="K128" s="219">
        <f t="shared" si="56"/>
        <v>0</v>
      </c>
      <c r="L128" s="219">
        <f t="shared" si="56"/>
        <v>0</v>
      </c>
      <c r="M128" s="219">
        <f t="shared" si="56"/>
        <v>0</v>
      </c>
      <c r="N128" s="219">
        <f t="shared" si="56"/>
        <v>0</v>
      </c>
      <c r="O128" s="219">
        <f t="shared" si="56"/>
        <v>244.60000000000002</v>
      </c>
      <c r="P128" s="219">
        <f t="shared" si="56"/>
        <v>244.60000000000002</v>
      </c>
      <c r="Q128" s="221">
        <v>240.7</v>
      </c>
      <c r="R128" s="221"/>
      <c r="S128" s="221"/>
    </row>
    <row r="129" spans="1:19" s="39" customFormat="1" ht="15.75" customHeight="1">
      <c r="A129" s="220" t="s">
        <v>14</v>
      </c>
      <c r="B129" s="49">
        <f>C129+D129+E129</f>
        <v>0</v>
      </c>
      <c r="C129" s="49">
        <v>0</v>
      </c>
      <c r="D129" s="49">
        <v>0</v>
      </c>
      <c r="E129" s="49">
        <v>0</v>
      </c>
      <c r="F129" s="49">
        <v>1047</v>
      </c>
      <c r="G129" s="49">
        <v>2.5</v>
      </c>
      <c r="H129" s="49">
        <v>1.26</v>
      </c>
      <c r="I129" s="222">
        <f>ROUND(B129*F129*G129*H129*12/1000,1)</f>
        <v>0</v>
      </c>
      <c r="J129" s="222">
        <v>0</v>
      </c>
      <c r="K129" s="65"/>
      <c r="L129" s="65"/>
      <c r="M129" s="65"/>
      <c r="N129" s="65"/>
      <c r="O129" s="47">
        <f>I129</f>
        <v>0</v>
      </c>
      <c r="P129" s="47">
        <f>O129</f>
        <v>0</v>
      </c>
      <c r="Q129" s="221">
        <f>J129/1000</f>
        <v>0</v>
      </c>
      <c r="R129" s="221"/>
      <c r="S129" s="221"/>
    </row>
    <row r="130" spans="1:19" s="39" customFormat="1" ht="15.75" customHeight="1">
      <c r="A130" s="220" t="s">
        <v>113</v>
      </c>
      <c r="B130" s="49">
        <f aca="true" t="shared" si="57" ref="B130:B137">C130+D130+E130</f>
        <v>1</v>
      </c>
      <c r="C130" s="49">
        <v>0</v>
      </c>
      <c r="D130" s="49">
        <v>0</v>
      </c>
      <c r="E130" s="49">
        <v>1</v>
      </c>
      <c r="F130" s="49">
        <v>1047</v>
      </c>
      <c r="G130" s="49">
        <v>2.5</v>
      </c>
      <c r="H130" s="49">
        <v>1.26</v>
      </c>
      <c r="I130" s="222">
        <f aca="true" t="shared" si="58" ref="I130:I137">ROUND(B130*F130*G130*H130*12/1000,1)</f>
        <v>39.6</v>
      </c>
      <c r="J130" s="222">
        <v>40895.82</v>
      </c>
      <c r="K130" s="65"/>
      <c r="L130" s="65"/>
      <c r="M130" s="65"/>
      <c r="N130" s="65"/>
      <c r="O130" s="47">
        <f aca="true" t="shared" si="59" ref="O130:O137">I130</f>
        <v>39.6</v>
      </c>
      <c r="P130" s="47">
        <f aca="true" t="shared" si="60" ref="P130:P137">O130</f>
        <v>39.6</v>
      </c>
      <c r="Q130" s="221">
        <v>39.6</v>
      </c>
      <c r="R130" s="221"/>
      <c r="S130" s="221"/>
    </row>
    <row r="131" spans="1:19" s="39" customFormat="1" ht="15.75" customHeight="1">
      <c r="A131" s="220" t="s">
        <v>109</v>
      </c>
      <c r="B131" s="49">
        <f t="shared" si="57"/>
        <v>1</v>
      </c>
      <c r="C131" s="49">
        <v>0</v>
      </c>
      <c r="D131" s="49">
        <v>0</v>
      </c>
      <c r="E131" s="49">
        <v>1</v>
      </c>
      <c r="F131" s="49">
        <v>1047</v>
      </c>
      <c r="G131" s="49">
        <v>2.5</v>
      </c>
      <c r="H131" s="49">
        <v>1.26</v>
      </c>
      <c r="I131" s="222">
        <f t="shared" si="58"/>
        <v>39.6</v>
      </c>
      <c r="J131" s="222">
        <v>40895.82</v>
      </c>
      <c r="K131" s="65"/>
      <c r="L131" s="65"/>
      <c r="M131" s="65"/>
      <c r="N131" s="65"/>
      <c r="O131" s="47">
        <f t="shared" si="59"/>
        <v>39.6</v>
      </c>
      <c r="P131" s="47">
        <f t="shared" si="60"/>
        <v>39.6</v>
      </c>
      <c r="Q131" s="221">
        <v>39.6</v>
      </c>
      <c r="R131" s="221"/>
      <c r="S131" s="221"/>
    </row>
    <row r="132" spans="1:19" s="39" customFormat="1" ht="15.75" customHeight="1">
      <c r="A132" s="220" t="s">
        <v>116</v>
      </c>
      <c r="B132" s="49">
        <f t="shared" si="57"/>
        <v>1</v>
      </c>
      <c r="C132" s="49">
        <v>0</v>
      </c>
      <c r="D132" s="49">
        <v>0</v>
      </c>
      <c r="E132" s="49">
        <v>1</v>
      </c>
      <c r="F132" s="49">
        <v>1047</v>
      </c>
      <c r="G132" s="49">
        <v>2.7</v>
      </c>
      <c r="H132" s="49">
        <v>1.26</v>
      </c>
      <c r="I132" s="222">
        <f t="shared" si="58"/>
        <v>42.7</v>
      </c>
      <c r="J132" s="222">
        <v>44167.4856</v>
      </c>
      <c r="K132" s="65"/>
      <c r="L132" s="65"/>
      <c r="M132" s="65"/>
      <c r="N132" s="65"/>
      <c r="O132" s="47">
        <f t="shared" si="59"/>
        <v>42.7</v>
      </c>
      <c r="P132" s="47">
        <f t="shared" si="60"/>
        <v>42.7</v>
      </c>
      <c r="Q132" s="221">
        <v>42.7</v>
      </c>
      <c r="R132" s="221"/>
      <c r="S132" s="221"/>
    </row>
    <row r="133" spans="1:19" s="39" customFormat="1" ht="15.75" customHeight="1">
      <c r="A133" s="220" t="s">
        <v>112</v>
      </c>
      <c r="B133" s="49">
        <f t="shared" si="57"/>
        <v>0</v>
      </c>
      <c r="C133" s="49">
        <v>0</v>
      </c>
      <c r="D133" s="49">
        <v>0</v>
      </c>
      <c r="E133" s="49">
        <v>0</v>
      </c>
      <c r="F133" s="49">
        <v>1047</v>
      </c>
      <c r="G133" s="49">
        <v>2.5</v>
      </c>
      <c r="H133" s="49">
        <v>1.26</v>
      </c>
      <c r="I133" s="222">
        <f t="shared" si="58"/>
        <v>0</v>
      </c>
      <c r="J133" s="222">
        <v>0</v>
      </c>
      <c r="K133" s="65"/>
      <c r="L133" s="65"/>
      <c r="M133" s="65"/>
      <c r="N133" s="65"/>
      <c r="O133" s="47">
        <f t="shared" si="59"/>
        <v>0</v>
      </c>
      <c r="P133" s="47">
        <f t="shared" si="60"/>
        <v>0</v>
      </c>
      <c r="Q133" s="221">
        <v>0</v>
      </c>
      <c r="R133" s="221"/>
      <c r="S133" s="221"/>
    </row>
    <row r="134" spans="1:19" s="39" customFormat="1" ht="15.75" customHeight="1">
      <c r="A134" s="220" t="s">
        <v>117</v>
      </c>
      <c r="B134" s="49">
        <f t="shared" si="57"/>
        <v>0</v>
      </c>
      <c r="C134" s="49">
        <v>0</v>
      </c>
      <c r="D134" s="49">
        <v>0</v>
      </c>
      <c r="E134" s="49">
        <v>0</v>
      </c>
      <c r="F134" s="49">
        <v>1047</v>
      </c>
      <c r="G134" s="49">
        <v>2.5</v>
      </c>
      <c r="H134" s="49">
        <v>1.302</v>
      </c>
      <c r="I134" s="222">
        <f t="shared" si="58"/>
        <v>0</v>
      </c>
      <c r="J134" s="222">
        <v>0</v>
      </c>
      <c r="K134" s="65"/>
      <c r="L134" s="65"/>
      <c r="M134" s="65"/>
      <c r="N134" s="65"/>
      <c r="O134" s="47">
        <f t="shared" si="59"/>
        <v>0</v>
      </c>
      <c r="P134" s="47">
        <f t="shared" si="60"/>
        <v>0</v>
      </c>
      <c r="Q134" s="221">
        <f>J134/1000</f>
        <v>0</v>
      </c>
      <c r="R134" s="221"/>
      <c r="S134" s="221"/>
    </row>
    <row r="135" spans="1:19" s="39" customFormat="1" ht="15.75" customHeight="1">
      <c r="A135" s="220" t="s">
        <v>118</v>
      </c>
      <c r="B135" s="49">
        <f t="shared" si="57"/>
        <v>1</v>
      </c>
      <c r="C135" s="49">
        <v>0</v>
      </c>
      <c r="D135" s="49">
        <v>0</v>
      </c>
      <c r="E135" s="49">
        <v>1</v>
      </c>
      <c r="F135" s="49">
        <v>1047</v>
      </c>
      <c r="G135" s="49">
        <v>2.5</v>
      </c>
      <c r="H135" s="49">
        <v>1.302</v>
      </c>
      <c r="I135" s="222">
        <f t="shared" si="58"/>
        <v>40.9</v>
      </c>
      <c r="J135" s="222">
        <v>40895.82</v>
      </c>
      <c r="K135" s="65"/>
      <c r="L135" s="65"/>
      <c r="M135" s="65"/>
      <c r="N135" s="65"/>
      <c r="O135" s="47">
        <f t="shared" si="59"/>
        <v>40.9</v>
      </c>
      <c r="P135" s="47">
        <f t="shared" si="60"/>
        <v>40.9</v>
      </c>
      <c r="Q135" s="221">
        <v>39.6</v>
      </c>
      <c r="R135" s="221"/>
      <c r="S135" s="221"/>
    </row>
    <row r="136" spans="1:19" s="39" customFormat="1" ht="15.75" customHeight="1">
      <c r="A136" s="220" t="s">
        <v>119</v>
      </c>
      <c r="B136" s="49">
        <f t="shared" si="57"/>
        <v>0</v>
      </c>
      <c r="C136" s="49">
        <v>0</v>
      </c>
      <c r="D136" s="49">
        <v>0</v>
      </c>
      <c r="E136" s="49">
        <v>0</v>
      </c>
      <c r="F136" s="49">
        <v>1047</v>
      </c>
      <c r="G136" s="49">
        <v>2.5</v>
      </c>
      <c r="H136" s="49">
        <v>1.302</v>
      </c>
      <c r="I136" s="222">
        <f t="shared" si="58"/>
        <v>0</v>
      </c>
      <c r="J136" s="222">
        <v>0</v>
      </c>
      <c r="K136" s="65"/>
      <c r="L136" s="65"/>
      <c r="M136" s="65"/>
      <c r="N136" s="65"/>
      <c r="O136" s="47">
        <f t="shared" si="59"/>
        <v>0</v>
      </c>
      <c r="P136" s="47">
        <f t="shared" si="60"/>
        <v>0</v>
      </c>
      <c r="Q136" s="221">
        <f>J136/1000</f>
        <v>0</v>
      </c>
      <c r="R136" s="221"/>
      <c r="S136" s="221"/>
    </row>
    <row r="137" spans="1:19" s="39" customFormat="1" ht="15.75" customHeight="1">
      <c r="A137" s="220" t="s">
        <v>120</v>
      </c>
      <c r="B137" s="49">
        <f t="shared" si="57"/>
        <v>2</v>
      </c>
      <c r="C137" s="49">
        <v>0</v>
      </c>
      <c r="D137" s="49">
        <v>0</v>
      </c>
      <c r="E137" s="49">
        <v>2</v>
      </c>
      <c r="F137" s="49">
        <v>1047</v>
      </c>
      <c r="G137" s="49">
        <v>2.5</v>
      </c>
      <c r="H137" s="49">
        <v>1.302</v>
      </c>
      <c r="I137" s="222">
        <f t="shared" si="58"/>
        <v>81.8</v>
      </c>
      <c r="J137" s="222">
        <v>81791.64</v>
      </c>
      <c r="K137" s="65"/>
      <c r="L137" s="65"/>
      <c r="M137" s="65"/>
      <c r="N137" s="65"/>
      <c r="O137" s="47">
        <f t="shared" si="59"/>
        <v>81.8</v>
      </c>
      <c r="P137" s="47">
        <f t="shared" si="60"/>
        <v>81.8</v>
      </c>
      <c r="Q137" s="221">
        <v>79.2</v>
      </c>
      <c r="R137" s="221"/>
      <c r="S137" s="221"/>
    </row>
    <row r="138" spans="1:19" s="39" customFormat="1" ht="28.5" customHeight="1">
      <c r="A138" s="216" t="s">
        <v>264</v>
      </c>
      <c r="B138" s="49" t="s">
        <v>265</v>
      </c>
      <c r="C138" s="49"/>
      <c r="D138" s="49"/>
      <c r="E138" s="49"/>
      <c r="F138" s="49" t="s">
        <v>266</v>
      </c>
      <c r="G138" s="49" t="s">
        <v>246</v>
      </c>
      <c r="H138" s="49" t="s">
        <v>241</v>
      </c>
      <c r="I138" s="222"/>
      <c r="J138" s="222"/>
      <c r="K138" s="65"/>
      <c r="L138" s="65"/>
      <c r="M138" s="65"/>
      <c r="N138" s="65"/>
      <c r="O138" s="65"/>
      <c r="P138" s="65"/>
      <c r="Q138" s="222"/>
      <c r="R138" s="222"/>
      <c r="S138" s="222"/>
    </row>
    <row r="139" spans="1:19" s="39" customFormat="1" ht="81.75" customHeight="1">
      <c r="A139" s="220" t="s">
        <v>261</v>
      </c>
      <c r="B139" s="49"/>
      <c r="C139" s="49"/>
      <c r="D139" s="49"/>
      <c r="E139" s="49"/>
      <c r="F139" s="49"/>
      <c r="G139" s="49"/>
      <c r="H139" s="49"/>
      <c r="I139" s="222">
        <f aca="true" t="shared" si="61" ref="I139:P139">I140+I150+I160</f>
        <v>441.7</v>
      </c>
      <c r="J139" s="222">
        <f t="shared" si="61"/>
        <v>560528.1864</v>
      </c>
      <c r="K139" s="219">
        <f t="shared" si="61"/>
        <v>0</v>
      </c>
      <c r="L139" s="219">
        <f t="shared" si="61"/>
        <v>0</v>
      </c>
      <c r="M139" s="219">
        <f t="shared" si="61"/>
        <v>0</v>
      </c>
      <c r="N139" s="219">
        <f t="shared" si="61"/>
        <v>0</v>
      </c>
      <c r="O139" s="219">
        <f t="shared" si="61"/>
        <v>441.7</v>
      </c>
      <c r="P139" s="219">
        <f t="shared" si="61"/>
        <v>441.7</v>
      </c>
      <c r="Q139" s="222">
        <v>427.4</v>
      </c>
      <c r="R139" s="222"/>
      <c r="S139" s="222"/>
    </row>
    <row r="140" spans="1:19" s="39" customFormat="1" ht="21" customHeight="1" hidden="1">
      <c r="A140" s="220" t="s">
        <v>267</v>
      </c>
      <c r="B140" s="49">
        <f>SUM(B141:B149)</f>
        <v>0</v>
      </c>
      <c r="C140" s="49">
        <f>SUM(C141:C149)</f>
        <v>0</v>
      </c>
      <c r="D140" s="49">
        <f>SUM(D141:D149)</f>
        <v>0</v>
      </c>
      <c r="E140" s="49">
        <f>SUM(E141:E149)</f>
        <v>0</v>
      </c>
      <c r="F140" s="49"/>
      <c r="G140" s="49"/>
      <c r="H140" s="49"/>
      <c r="I140" s="222">
        <f>SUM(I141:I149)</f>
        <v>0</v>
      </c>
      <c r="J140" s="222">
        <f aca="true" t="shared" si="62" ref="J140:P140">SUM(J141:J149)</f>
        <v>0</v>
      </c>
      <c r="K140" s="219">
        <f t="shared" si="62"/>
        <v>0</v>
      </c>
      <c r="L140" s="219">
        <f t="shared" si="62"/>
        <v>0</v>
      </c>
      <c r="M140" s="219">
        <f t="shared" si="62"/>
        <v>0</v>
      </c>
      <c r="N140" s="219">
        <f t="shared" si="62"/>
        <v>0</v>
      </c>
      <c r="O140" s="219">
        <f t="shared" si="62"/>
        <v>0</v>
      </c>
      <c r="P140" s="219">
        <f t="shared" si="62"/>
        <v>0</v>
      </c>
      <c r="Q140" s="222">
        <f>SUM(Q141:Q149)</f>
        <v>0</v>
      </c>
      <c r="R140" s="222"/>
      <c r="S140" s="222"/>
    </row>
    <row r="141" spans="1:19" s="39" customFormat="1" ht="21" customHeight="1" hidden="1">
      <c r="A141" s="220" t="s">
        <v>14</v>
      </c>
      <c r="B141" s="49">
        <f>C141+D141+E141</f>
        <v>0</v>
      </c>
      <c r="C141" s="49">
        <v>0</v>
      </c>
      <c r="D141" s="49">
        <v>0</v>
      </c>
      <c r="E141" s="49">
        <v>0</v>
      </c>
      <c r="F141" s="49">
        <v>436</v>
      </c>
      <c r="G141" s="49">
        <v>2.5</v>
      </c>
      <c r="H141" s="49">
        <v>1.302</v>
      </c>
      <c r="I141" s="222">
        <f>B141*F141*G141*H141*12</f>
        <v>0</v>
      </c>
      <c r="J141" s="222">
        <v>0</v>
      </c>
      <c r="K141" s="65"/>
      <c r="L141" s="65"/>
      <c r="M141" s="65"/>
      <c r="N141" s="65"/>
      <c r="O141" s="47">
        <f>I141</f>
        <v>0</v>
      </c>
      <c r="P141" s="47">
        <f>O141</f>
        <v>0</v>
      </c>
      <c r="Q141" s="222">
        <v>0</v>
      </c>
      <c r="R141" s="222"/>
      <c r="S141" s="222"/>
    </row>
    <row r="142" spans="1:19" s="39" customFormat="1" ht="21" customHeight="1" hidden="1">
      <c r="A142" s="220" t="s">
        <v>113</v>
      </c>
      <c r="B142" s="49">
        <f aca="true" t="shared" si="63" ref="B142:B149">C142+D142+E142</f>
        <v>0</v>
      </c>
      <c r="C142" s="49">
        <v>0</v>
      </c>
      <c r="D142" s="49">
        <v>0</v>
      </c>
      <c r="E142" s="49">
        <v>0</v>
      </c>
      <c r="F142" s="49">
        <v>436</v>
      </c>
      <c r="G142" s="49">
        <v>2.5</v>
      </c>
      <c r="H142" s="49">
        <v>1.302</v>
      </c>
      <c r="I142" s="222">
        <f aca="true" t="shared" si="64" ref="I142:I149">B142*F142*G142*H142*12</f>
        <v>0</v>
      </c>
      <c r="J142" s="222">
        <v>0</v>
      </c>
      <c r="K142" s="65"/>
      <c r="L142" s="65"/>
      <c r="M142" s="65"/>
      <c r="N142" s="65"/>
      <c r="O142" s="47">
        <f aca="true" t="shared" si="65" ref="O142:O149">I142</f>
        <v>0</v>
      </c>
      <c r="P142" s="47">
        <f aca="true" t="shared" si="66" ref="P142:P149">O142</f>
        <v>0</v>
      </c>
      <c r="Q142" s="222">
        <v>0</v>
      </c>
      <c r="R142" s="222"/>
      <c r="S142" s="222"/>
    </row>
    <row r="143" spans="1:19" s="39" customFormat="1" ht="21" customHeight="1" hidden="1">
      <c r="A143" s="220" t="s">
        <v>109</v>
      </c>
      <c r="B143" s="49">
        <f t="shared" si="63"/>
        <v>0</v>
      </c>
      <c r="C143" s="49">
        <v>0</v>
      </c>
      <c r="D143" s="49">
        <v>0</v>
      </c>
      <c r="E143" s="49">
        <v>0</v>
      </c>
      <c r="F143" s="49">
        <v>436</v>
      </c>
      <c r="G143" s="49">
        <v>2.5</v>
      </c>
      <c r="H143" s="49">
        <v>1.302</v>
      </c>
      <c r="I143" s="222">
        <f t="shared" si="64"/>
        <v>0</v>
      </c>
      <c r="J143" s="222">
        <v>0</v>
      </c>
      <c r="K143" s="65"/>
      <c r="L143" s="65"/>
      <c r="M143" s="65"/>
      <c r="N143" s="65"/>
      <c r="O143" s="47">
        <f t="shared" si="65"/>
        <v>0</v>
      </c>
      <c r="P143" s="47">
        <f t="shared" si="66"/>
        <v>0</v>
      </c>
      <c r="Q143" s="222">
        <v>0</v>
      </c>
      <c r="R143" s="222"/>
      <c r="S143" s="222"/>
    </row>
    <row r="144" spans="1:19" s="39" customFormat="1" ht="21" customHeight="1" hidden="1">
      <c r="A144" s="220" t="s">
        <v>116</v>
      </c>
      <c r="B144" s="49">
        <f t="shared" si="63"/>
        <v>0</v>
      </c>
      <c r="C144" s="49">
        <v>0</v>
      </c>
      <c r="D144" s="49">
        <v>0</v>
      </c>
      <c r="E144" s="49">
        <v>0</v>
      </c>
      <c r="F144" s="49">
        <v>436</v>
      </c>
      <c r="G144" s="49">
        <v>2.7</v>
      </c>
      <c r="H144" s="49">
        <v>1.302</v>
      </c>
      <c r="I144" s="222">
        <f t="shared" si="64"/>
        <v>0</v>
      </c>
      <c r="J144" s="222">
        <v>0</v>
      </c>
      <c r="K144" s="65"/>
      <c r="L144" s="65"/>
      <c r="M144" s="65"/>
      <c r="N144" s="65"/>
      <c r="O144" s="47">
        <f t="shared" si="65"/>
        <v>0</v>
      </c>
      <c r="P144" s="47">
        <f t="shared" si="66"/>
        <v>0</v>
      </c>
      <c r="Q144" s="222">
        <v>0</v>
      </c>
      <c r="R144" s="222"/>
      <c r="S144" s="222"/>
    </row>
    <row r="145" spans="1:19" s="39" customFormat="1" ht="21" customHeight="1" hidden="1">
      <c r="A145" s="220" t="s">
        <v>112</v>
      </c>
      <c r="B145" s="49">
        <f t="shared" si="63"/>
        <v>0</v>
      </c>
      <c r="C145" s="49">
        <v>0</v>
      </c>
      <c r="D145" s="49">
        <v>0</v>
      </c>
      <c r="E145" s="49">
        <v>0</v>
      </c>
      <c r="F145" s="49">
        <v>436</v>
      </c>
      <c r="G145" s="49">
        <v>2.5</v>
      </c>
      <c r="H145" s="49">
        <v>1.302</v>
      </c>
      <c r="I145" s="222">
        <f t="shared" si="64"/>
        <v>0</v>
      </c>
      <c r="J145" s="222">
        <v>0</v>
      </c>
      <c r="K145" s="65"/>
      <c r="L145" s="65"/>
      <c r="M145" s="65"/>
      <c r="N145" s="65"/>
      <c r="O145" s="47">
        <f t="shared" si="65"/>
        <v>0</v>
      </c>
      <c r="P145" s="47">
        <f t="shared" si="66"/>
        <v>0</v>
      </c>
      <c r="Q145" s="222">
        <v>0</v>
      </c>
      <c r="R145" s="222"/>
      <c r="S145" s="222"/>
    </row>
    <row r="146" spans="1:19" s="39" customFormat="1" ht="21" customHeight="1" hidden="1">
      <c r="A146" s="220" t="s">
        <v>117</v>
      </c>
      <c r="B146" s="49">
        <f t="shared" si="63"/>
        <v>0</v>
      </c>
      <c r="C146" s="49"/>
      <c r="D146" s="49"/>
      <c r="E146" s="49"/>
      <c r="F146" s="49">
        <v>436</v>
      </c>
      <c r="G146" s="49">
        <v>2.5</v>
      </c>
      <c r="H146" s="49">
        <v>1.302</v>
      </c>
      <c r="I146" s="222">
        <f t="shared" si="64"/>
        <v>0</v>
      </c>
      <c r="J146" s="222">
        <v>0</v>
      </c>
      <c r="K146" s="65"/>
      <c r="L146" s="65"/>
      <c r="M146" s="65"/>
      <c r="N146" s="65"/>
      <c r="O146" s="47">
        <f t="shared" si="65"/>
        <v>0</v>
      </c>
      <c r="P146" s="47">
        <f t="shared" si="66"/>
        <v>0</v>
      </c>
      <c r="Q146" s="222">
        <v>0</v>
      </c>
      <c r="R146" s="222"/>
      <c r="S146" s="222"/>
    </row>
    <row r="147" spans="1:19" s="39" customFormat="1" ht="21" customHeight="1" hidden="1">
      <c r="A147" s="220" t="s">
        <v>118</v>
      </c>
      <c r="B147" s="49">
        <f t="shared" si="63"/>
        <v>0</v>
      </c>
      <c r="C147" s="49">
        <v>0</v>
      </c>
      <c r="D147" s="49">
        <v>0</v>
      </c>
      <c r="E147" s="49">
        <v>0</v>
      </c>
      <c r="F147" s="49">
        <v>436</v>
      </c>
      <c r="G147" s="49">
        <v>2.5</v>
      </c>
      <c r="H147" s="49">
        <v>1.302</v>
      </c>
      <c r="I147" s="222">
        <f t="shared" si="64"/>
        <v>0</v>
      </c>
      <c r="J147" s="222">
        <v>0</v>
      </c>
      <c r="K147" s="65"/>
      <c r="L147" s="65"/>
      <c r="M147" s="65"/>
      <c r="N147" s="65"/>
      <c r="O147" s="47">
        <f t="shared" si="65"/>
        <v>0</v>
      </c>
      <c r="P147" s="47">
        <f t="shared" si="66"/>
        <v>0</v>
      </c>
      <c r="Q147" s="222">
        <v>0</v>
      </c>
      <c r="R147" s="222"/>
      <c r="S147" s="222"/>
    </row>
    <row r="148" spans="1:19" s="39" customFormat="1" ht="21" customHeight="1" hidden="1">
      <c r="A148" s="220" t="s">
        <v>119</v>
      </c>
      <c r="B148" s="49">
        <f t="shared" si="63"/>
        <v>0</v>
      </c>
      <c r="C148" s="49">
        <v>0</v>
      </c>
      <c r="D148" s="49">
        <v>0</v>
      </c>
      <c r="E148" s="49">
        <v>0</v>
      </c>
      <c r="F148" s="49">
        <v>436</v>
      </c>
      <c r="G148" s="49">
        <v>2.5</v>
      </c>
      <c r="H148" s="49">
        <v>1.302</v>
      </c>
      <c r="I148" s="222">
        <f t="shared" si="64"/>
        <v>0</v>
      </c>
      <c r="J148" s="222">
        <v>0</v>
      </c>
      <c r="K148" s="65"/>
      <c r="L148" s="65"/>
      <c r="M148" s="65"/>
      <c r="N148" s="65"/>
      <c r="O148" s="47">
        <f t="shared" si="65"/>
        <v>0</v>
      </c>
      <c r="P148" s="47">
        <f t="shared" si="66"/>
        <v>0</v>
      </c>
      <c r="Q148" s="222">
        <v>0</v>
      </c>
      <c r="R148" s="222"/>
      <c r="S148" s="222"/>
    </row>
    <row r="149" spans="1:19" s="39" customFormat="1" ht="21" customHeight="1" hidden="1">
      <c r="A149" s="220" t="s">
        <v>120</v>
      </c>
      <c r="B149" s="49">
        <f t="shared" si="63"/>
        <v>0</v>
      </c>
      <c r="C149" s="49">
        <v>0</v>
      </c>
      <c r="D149" s="49">
        <v>0</v>
      </c>
      <c r="E149" s="49">
        <v>0</v>
      </c>
      <c r="F149" s="49">
        <v>436</v>
      </c>
      <c r="G149" s="49">
        <v>2.5</v>
      </c>
      <c r="H149" s="49">
        <v>1.302</v>
      </c>
      <c r="I149" s="222">
        <f t="shared" si="64"/>
        <v>0</v>
      </c>
      <c r="J149" s="222">
        <v>0</v>
      </c>
      <c r="K149" s="65"/>
      <c r="L149" s="65"/>
      <c r="M149" s="65"/>
      <c r="N149" s="65"/>
      <c r="O149" s="47">
        <f t="shared" si="65"/>
        <v>0</v>
      </c>
      <c r="P149" s="47">
        <f t="shared" si="66"/>
        <v>0</v>
      </c>
      <c r="Q149" s="222">
        <v>0</v>
      </c>
      <c r="R149" s="222"/>
      <c r="S149" s="222"/>
    </row>
    <row r="150" spans="1:19" s="39" customFormat="1" ht="15.75" customHeight="1">
      <c r="A150" s="220" t="s">
        <v>268</v>
      </c>
      <c r="B150" s="49">
        <f>SUM(B151:B159)</f>
        <v>19</v>
      </c>
      <c r="C150" s="49">
        <f>SUM(C151:C159)</f>
        <v>16</v>
      </c>
      <c r="D150" s="49">
        <f>SUM(D151:D159)</f>
        <v>1</v>
      </c>
      <c r="E150" s="49">
        <f>SUM(E151:E159)</f>
        <v>2</v>
      </c>
      <c r="F150" s="49"/>
      <c r="G150" s="49"/>
      <c r="H150" s="49"/>
      <c r="I150" s="222">
        <f aca="true" t="shared" si="67" ref="I150:P150">SUM(I151:I159)</f>
        <v>381</v>
      </c>
      <c r="J150" s="222">
        <f t="shared" si="67"/>
        <v>499838.32080000004</v>
      </c>
      <c r="K150" s="219">
        <f t="shared" si="67"/>
        <v>0</v>
      </c>
      <c r="L150" s="219">
        <f t="shared" si="67"/>
        <v>0</v>
      </c>
      <c r="M150" s="219">
        <f t="shared" si="67"/>
        <v>0</v>
      </c>
      <c r="N150" s="219">
        <f t="shared" si="67"/>
        <v>0</v>
      </c>
      <c r="O150" s="219">
        <f t="shared" si="67"/>
        <v>381</v>
      </c>
      <c r="P150" s="219">
        <f t="shared" si="67"/>
        <v>381</v>
      </c>
      <c r="Q150" s="222">
        <v>368.7</v>
      </c>
      <c r="R150" s="222"/>
      <c r="S150" s="222"/>
    </row>
    <row r="151" spans="1:19" s="39" customFormat="1" ht="15.75" customHeight="1">
      <c r="A151" s="220" t="s">
        <v>14</v>
      </c>
      <c r="B151" s="49">
        <f>C151+D151+E151</f>
        <v>2</v>
      </c>
      <c r="C151" s="49">
        <v>1</v>
      </c>
      <c r="D151" s="49">
        <v>1</v>
      </c>
      <c r="E151" s="49"/>
      <c r="F151" s="49">
        <v>507</v>
      </c>
      <c r="G151" s="49">
        <v>2.5</v>
      </c>
      <c r="H151" s="49">
        <v>1.302</v>
      </c>
      <c r="I151" s="222">
        <f>ROUND(B151*F151*G151*H151*12/1000,1)</f>
        <v>39.6</v>
      </c>
      <c r="J151" s="222">
        <v>39606.840000000004</v>
      </c>
      <c r="K151" s="65"/>
      <c r="L151" s="65"/>
      <c r="M151" s="65"/>
      <c r="N151" s="65"/>
      <c r="O151" s="47">
        <f>I151</f>
        <v>39.6</v>
      </c>
      <c r="P151" s="47">
        <f>O151</f>
        <v>39.6</v>
      </c>
      <c r="Q151" s="222">
        <v>38.3</v>
      </c>
      <c r="R151" s="222"/>
      <c r="S151" s="222"/>
    </row>
    <row r="152" spans="1:19" s="39" customFormat="1" ht="15.75" customHeight="1">
      <c r="A152" s="220" t="s">
        <v>113</v>
      </c>
      <c r="B152" s="49">
        <f aca="true" t="shared" si="68" ref="B152:B159">C152+D152+E152</f>
        <v>2</v>
      </c>
      <c r="C152" s="49">
        <v>2</v>
      </c>
      <c r="D152" s="49">
        <v>0</v>
      </c>
      <c r="E152" s="49">
        <v>0</v>
      </c>
      <c r="F152" s="49">
        <v>507</v>
      </c>
      <c r="G152" s="49">
        <v>2.5</v>
      </c>
      <c r="H152" s="49">
        <v>1.302</v>
      </c>
      <c r="I152" s="222">
        <f aca="true" t="shared" si="69" ref="I152:I159">ROUND(B152*F152*G152*H152*12/1000,1)</f>
        <v>39.6</v>
      </c>
      <c r="J152" s="222">
        <v>59410.26000000001</v>
      </c>
      <c r="K152" s="65"/>
      <c r="L152" s="65"/>
      <c r="M152" s="65"/>
      <c r="N152" s="65"/>
      <c r="O152" s="47">
        <f aca="true" t="shared" si="70" ref="O152:O159">I152</f>
        <v>39.6</v>
      </c>
      <c r="P152" s="47">
        <f aca="true" t="shared" si="71" ref="P152:P159">O152</f>
        <v>39.6</v>
      </c>
      <c r="Q152" s="222">
        <v>38.3</v>
      </c>
      <c r="R152" s="222"/>
      <c r="S152" s="222"/>
    </row>
    <row r="153" spans="1:19" s="39" customFormat="1" ht="15.75" customHeight="1">
      <c r="A153" s="220" t="s">
        <v>109</v>
      </c>
      <c r="B153" s="49">
        <f t="shared" si="68"/>
        <v>0</v>
      </c>
      <c r="C153" s="49">
        <v>0</v>
      </c>
      <c r="D153" s="49">
        <v>0</v>
      </c>
      <c r="E153" s="49">
        <v>0</v>
      </c>
      <c r="F153" s="49">
        <v>507</v>
      </c>
      <c r="G153" s="49">
        <v>2.5</v>
      </c>
      <c r="H153" s="49">
        <v>1.302</v>
      </c>
      <c r="I153" s="222">
        <f t="shared" si="69"/>
        <v>0</v>
      </c>
      <c r="J153" s="222">
        <v>0</v>
      </c>
      <c r="K153" s="65"/>
      <c r="L153" s="65"/>
      <c r="M153" s="65"/>
      <c r="N153" s="65"/>
      <c r="O153" s="47">
        <f t="shared" si="70"/>
        <v>0</v>
      </c>
      <c r="P153" s="47">
        <f t="shared" si="71"/>
        <v>0</v>
      </c>
      <c r="Q153" s="222">
        <v>0</v>
      </c>
      <c r="R153" s="222"/>
      <c r="S153" s="222"/>
    </row>
    <row r="154" spans="1:19" s="39" customFormat="1" ht="15.75" customHeight="1">
      <c r="A154" s="220" t="s">
        <v>116</v>
      </c>
      <c r="B154" s="49">
        <f t="shared" si="68"/>
        <v>3</v>
      </c>
      <c r="C154" s="49">
        <v>1</v>
      </c>
      <c r="D154" s="49">
        <v>0</v>
      </c>
      <c r="E154" s="49">
        <v>2</v>
      </c>
      <c r="F154" s="49">
        <v>507</v>
      </c>
      <c r="G154" s="49">
        <v>2.7</v>
      </c>
      <c r="H154" s="49">
        <v>1.302</v>
      </c>
      <c r="I154" s="222">
        <f t="shared" si="69"/>
        <v>64.2</v>
      </c>
      <c r="J154" s="222">
        <v>64163.080799999996</v>
      </c>
      <c r="K154" s="65"/>
      <c r="L154" s="65"/>
      <c r="M154" s="65"/>
      <c r="N154" s="65"/>
      <c r="O154" s="47">
        <f t="shared" si="70"/>
        <v>64.2</v>
      </c>
      <c r="P154" s="47">
        <f t="shared" si="71"/>
        <v>64.2</v>
      </c>
      <c r="Q154" s="222">
        <v>62.1</v>
      </c>
      <c r="R154" s="222"/>
      <c r="S154" s="222"/>
    </row>
    <row r="155" spans="1:19" s="39" customFormat="1" ht="15.75" customHeight="1">
      <c r="A155" s="220" t="s">
        <v>112</v>
      </c>
      <c r="B155" s="49">
        <f t="shared" si="68"/>
        <v>2</v>
      </c>
      <c r="C155" s="49">
        <v>2</v>
      </c>
      <c r="D155" s="49">
        <v>0</v>
      </c>
      <c r="E155" s="49">
        <v>0</v>
      </c>
      <c r="F155" s="49">
        <v>507</v>
      </c>
      <c r="G155" s="49">
        <v>2.5</v>
      </c>
      <c r="H155" s="49">
        <v>1.302</v>
      </c>
      <c r="I155" s="222">
        <f t="shared" si="69"/>
        <v>39.6</v>
      </c>
      <c r="J155" s="222">
        <v>39606.840000000004</v>
      </c>
      <c r="K155" s="65"/>
      <c r="L155" s="65"/>
      <c r="M155" s="65"/>
      <c r="N155" s="65"/>
      <c r="O155" s="47">
        <f t="shared" si="70"/>
        <v>39.6</v>
      </c>
      <c r="P155" s="47">
        <f t="shared" si="71"/>
        <v>39.6</v>
      </c>
      <c r="Q155" s="222">
        <v>38.3</v>
      </c>
      <c r="R155" s="222"/>
      <c r="S155" s="222"/>
    </row>
    <row r="156" spans="1:19" s="39" customFormat="1" ht="15.75" customHeight="1">
      <c r="A156" s="220" t="s">
        <v>117</v>
      </c>
      <c r="B156" s="49">
        <f t="shared" si="68"/>
        <v>4</v>
      </c>
      <c r="C156" s="49">
        <v>4</v>
      </c>
      <c r="D156" s="49">
        <v>0</v>
      </c>
      <c r="E156" s="49">
        <v>0</v>
      </c>
      <c r="F156" s="49">
        <v>507</v>
      </c>
      <c r="G156" s="49">
        <v>2.5</v>
      </c>
      <c r="H156" s="49">
        <v>1.302</v>
      </c>
      <c r="I156" s="222">
        <f t="shared" si="69"/>
        <v>79.2</v>
      </c>
      <c r="J156" s="222">
        <v>79213.68000000001</v>
      </c>
      <c r="K156" s="65"/>
      <c r="L156" s="65"/>
      <c r="M156" s="65"/>
      <c r="N156" s="65"/>
      <c r="O156" s="47">
        <f t="shared" si="70"/>
        <v>79.2</v>
      </c>
      <c r="P156" s="47">
        <f t="shared" si="71"/>
        <v>79.2</v>
      </c>
      <c r="Q156" s="222">
        <v>76.7</v>
      </c>
      <c r="R156" s="222"/>
      <c r="S156" s="222"/>
    </row>
    <row r="157" spans="1:19" s="39" customFormat="1" ht="15.75" customHeight="1">
      <c r="A157" s="220" t="s">
        <v>118</v>
      </c>
      <c r="B157" s="49">
        <f t="shared" si="68"/>
        <v>2</v>
      </c>
      <c r="C157" s="49">
        <v>2</v>
      </c>
      <c r="D157" s="49">
        <v>0</v>
      </c>
      <c r="E157" s="49">
        <v>0</v>
      </c>
      <c r="F157" s="49">
        <v>507</v>
      </c>
      <c r="G157" s="49">
        <v>2.5</v>
      </c>
      <c r="H157" s="49">
        <v>1.302</v>
      </c>
      <c r="I157" s="222">
        <f t="shared" si="69"/>
        <v>39.6</v>
      </c>
      <c r="J157" s="222">
        <v>39606.840000000004</v>
      </c>
      <c r="K157" s="65"/>
      <c r="L157" s="65"/>
      <c r="M157" s="65"/>
      <c r="N157" s="65"/>
      <c r="O157" s="47">
        <f t="shared" si="70"/>
        <v>39.6</v>
      </c>
      <c r="P157" s="47">
        <f t="shared" si="71"/>
        <v>39.6</v>
      </c>
      <c r="Q157" s="222">
        <v>38.3</v>
      </c>
      <c r="R157" s="222"/>
      <c r="S157" s="222"/>
    </row>
    <row r="158" spans="1:19" s="39" customFormat="1" ht="15.75" customHeight="1">
      <c r="A158" s="220" t="s">
        <v>119</v>
      </c>
      <c r="B158" s="49">
        <f t="shared" si="68"/>
        <v>3</v>
      </c>
      <c r="C158" s="49">
        <v>3</v>
      </c>
      <c r="D158" s="49">
        <v>0</v>
      </c>
      <c r="E158" s="49">
        <v>0</v>
      </c>
      <c r="F158" s="49">
        <v>507</v>
      </c>
      <c r="G158" s="49">
        <v>2.5</v>
      </c>
      <c r="H158" s="49">
        <v>1.302</v>
      </c>
      <c r="I158" s="222">
        <f t="shared" si="69"/>
        <v>59.4</v>
      </c>
      <c r="J158" s="222">
        <v>99017.1</v>
      </c>
      <c r="K158" s="65"/>
      <c r="L158" s="65"/>
      <c r="M158" s="65"/>
      <c r="N158" s="65"/>
      <c r="O158" s="47">
        <f t="shared" si="70"/>
        <v>59.4</v>
      </c>
      <c r="P158" s="47">
        <f t="shared" si="71"/>
        <v>59.4</v>
      </c>
      <c r="Q158" s="222">
        <v>57.5</v>
      </c>
      <c r="R158" s="222"/>
      <c r="S158" s="222"/>
    </row>
    <row r="159" spans="1:19" s="39" customFormat="1" ht="15.75" customHeight="1">
      <c r="A159" s="220" t="s">
        <v>120</v>
      </c>
      <c r="B159" s="49">
        <f t="shared" si="68"/>
        <v>1</v>
      </c>
      <c r="C159" s="49">
        <v>1</v>
      </c>
      <c r="D159" s="49">
        <v>0</v>
      </c>
      <c r="E159" s="49">
        <v>0</v>
      </c>
      <c r="F159" s="49">
        <v>507</v>
      </c>
      <c r="G159" s="49">
        <v>2.5</v>
      </c>
      <c r="H159" s="49">
        <v>1.302</v>
      </c>
      <c r="I159" s="222">
        <f t="shared" si="69"/>
        <v>19.8</v>
      </c>
      <c r="J159" s="222">
        <v>79213.68000000001</v>
      </c>
      <c r="K159" s="65"/>
      <c r="L159" s="65"/>
      <c r="M159" s="65"/>
      <c r="N159" s="65"/>
      <c r="O159" s="47">
        <f t="shared" si="70"/>
        <v>19.8</v>
      </c>
      <c r="P159" s="47">
        <f t="shared" si="71"/>
        <v>19.8</v>
      </c>
      <c r="Q159" s="222">
        <v>19.2</v>
      </c>
      <c r="R159" s="222"/>
      <c r="S159" s="222"/>
    </row>
    <row r="160" spans="1:19" s="39" customFormat="1" ht="15.75" customHeight="1">
      <c r="A160" s="220" t="s">
        <v>269</v>
      </c>
      <c r="B160" s="49">
        <f>SUM(B161:B169)</f>
        <v>2</v>
      </c>
      <c r="C160" s="49">
        <f>SUM(C161:C169)</f>
        <v>0</v>
      </c>
      <c r="D160" s="49">
        <f>SUM(D161:D169)</f>
        <v>1</v>
      </c>
      <c r="E160" s="49">
        <f>SUM(E161:E169)</f>
        <v>1</v>
      </c>
      <c r="F160" s="49"/>
      <c r="G160" s="49"/>
      <c r="H160" s="49"/>
      <c r="I160" s="222">
        <f>SUM(I161:I169)</f>
        <v>60.7</v>
      </c>
      <c r="J160" s="222">
        <f aca="true" t="shared" si="72" ref="J160:P160">SUM(J161:J169)</f>
        <v>60689.865600000005</v>
      </c>
      <c r="K160" s="219">
        <f t="shared" si="72"/>
        <v>0</v>
      </c>
      <c r="L160" s="219">
        <f t="shared" si="72"/>
        <v>0</v>
      </c>
      <c r="M160" s="219">
        <f t="shared" si="72"/>
        <v>0</v>
      </c>
      <c r="N160" s="219">
        <f t="shared" si="72"/>
        <v>0</v>
      </c>
      <c r="O160" s="219">
        <f t="shared" si="72"/>
        <v>60.7</v>
      </c>
      <c r="P160" s="219">
        <f t="shared" si="72"/>
        <v>60.7</v>
      </c>
      <c r="Q160" s="222">
        <v>58.7</v>
      </c>
      <c r="R160" s="222"/>
      <c r="S160" s="222"/>
    </row>
    <row r="161" spans="1:19" s="39" customFormat="1" ht="15.75" customHeight="1">
      <c r="A161" s="220" t="s">
        <v>14</v>
      </c>
      <c r="B161" s="49">
        <f>C161+D161+E161</f>
        <v>0</v>
      </c>
      <c r="C161" s="49">
        <v>0</v>
      </c>
      <c r="D161" s="49">
        <v>0</v>
      </c>
      <c r="E161" s="49">
        <v>0</v>
      </c>
      <c r="F161" s="49">
        <v>747</v>
      </c>
      <c r="G161" s="49">
        <v>2.5</v>
      </c>
      <c r="H161" s="49">
        <v>1.302</v>
      </c>
      <c r="I161" s="222">
        <f>ROUND(B161*F161*G161*H161*12/1000,1)</f>
        <v>0</v>
      </c>
      <c r="J161" s="222">
        <v>0</v>
      </c>
      <c r="K161" s="65"/>
      <c r="L161" s="65"/>
      <c r="M161" s="65"/>
      <c r="N161" s="65"/>
      <c r="O161" s="47">
        <f>I161</f>
        <v>0</v>
      </c>
      <c r="P161" s="47">
        <f>O161</f>
        <v>0</v>
      </c>
      <c r="Q161" s="222">
        <v>0</v>
      </c>
      <c r="R161" s="222"/>
      <c r="S161" s="222"/>
    </row>
    <row r="162" spans="1:19" s="39" customFormat="1" ht="15.75" customHeight="1">
      <c r="A162" s="220" t="s">
        <v>113</v>
      </c>
      <c r="B162" s="49">
        <f aca="true" t="shared" si="73" ref="B162:B169">C162+D162+E162</f>
        <v>0</v>
      </c>
      <c r="C162" s="49">
        <v>0</v>
      </c>
      <c r="D162" s="49">
        <v>0</v>
      </c>
      <c r="E162" s="49">
        <v>0</v>
      </c>
      <c r="F162" s="49">
        <v>747</v>
      </c>
      <c r="G162" s="49">
        <v>2.5</v>
      </c>
      <c r="H162" s="49">
        <v>1.302</v>
      </c>
      <c r="I162" s="222">
        <f aca="true" t="shared" si="74" ref="I162:I169">ROUND(B162*F162*G162*H162*12/1000,1)</f>
        <v>0</v>
      </c>
      <c r="J162" s="222">
        <v>0</v>
      </c>
      <c r="K162" s="65"/>
      <c r="L162" s="65"/>
      <c r="M162" s="65"/>
      <c r="N162" s="65"/>
      <c r="O162" s="47">
        <f aca="true" t="shared" si="75" ref="O162:O169">I162</f>
        <v>0</v>
      </c>
      <c r="P162" s="47">
        <f aca="true" t="shared" si="76" ref="P162:P169">O162</f>
        <v>0</v>
      </c>
      <c r="Q162" s="222">
        <v>0</v>
      </c>
      <c r="R162" s="222"/>
      <c r="S162" s="222"/>
    </row>
    <row r="163" spans="1:19" s="39" customFormat="1" ht="15.75" customHeight="1">
      <c r="A163" s="220" t="s">
        <v>109</v>
      </c>
      <c r="B163" s="49">
        <f t="shared" si="73"/>
        <v>0</v>
      </c>
      <c r="C163" s="49">
        <v>0</v>
      </c>
      <c r="D163" s="49">
        <v>0</v>
      </c>
      <c r="E163" s="49">
        <v>0</v>
      </c>
      <c r="F163" s="49">
        <v>747</v>
      </c>
      <c r="G163" s="49">
        <v>2.5</v>
      </c>
      <c r="H163" s="49">
        <v>1.302</v>
      </c>
      <c r="I163" s="222">
        <f t="shared" si="74"/>
        <v>0</v>
      </c>
      <c r="J163" s="222">
        <v>0</v>
      </c>
      <c r="K163" s="65"/>
      <c r="L163" s="65"/>
      <c r="M163" s="65"/>
      <c r="N163" s="65"/>
      <c r="O163" s="47">
        <f t="shared" si="75"/>
        <v>0</v>
      </c>
      <c r="P163" s="47">
        <f t="shared" si="76"/>
        <v>0</v>
      </c>
      <c r="Q163" s="222">
        <v>0</v>
      </c>
      <c r="R163" s="222"/>
      <c r="S163" s="222"/>
    </row>
    <row r="164" spans="1:19" s="39" customFormat="1" ht="15.75" customHeight="1">
      <c r="A164" s="220" t="s">
        <v>116</v>
      </c>
      <c r="B164" s="49">
        <f t="shared" si="73"/>
        <v>1</v>
      </c>
      <c r="C164" s="49">
        <v>0</v>
      </c>
      <c r="D164" s="49">
        <v>0</v>
      </c>
      <c r="E164" s="49">
        <v>1</v>
      </c>
      <c r="F164" s="49">
        <v>747</v>
      </c>
      <c r="G164" s="49">
        <v>2.7</v>
      </c>
      <c r="H164" s="49">
        <v>1.302</v>
      </c>
      <c r="I164" s="222">
        <f t="shared" si="74"/>
        <v>31.5</v>
      </c>
      <c r="J164" s="222">
        <v>31512.045600000005</v>
      </c>
      <c r="K164" s="65"/>
      <c r="L164" s="65"/>
      <c r="M164" s="65"/>
      <c r="N164" s="65"/>
      <c r="O164" s="47">
        <f t="shared" si="75"/>
        <v>31.5</v>
      </c>
      <c r="P164" s="47">
        <f t="shared" si="76"/>
        <v>31.5</v>
      </c>
      <c r="Q164" s="222">
        <v>30.5</v>
      </c>
      <c r="R164" s="222"/>
      <c r="S164" s="222"/>
    </row>
    <row r="165" spans="1:19" s="39" customFormat="1" ht="15.75" customHeight="1">
      <c r="A165" s="220" t="s">
        <v>112</v>
      </c>
      <c r="B165" s="49">
        <f t="shared" si="73"/>
        <v>1</v>
      </c>
      <c r="C165" s="49">
        <v>0</v>
      </c>
      <c r="D165" s="49">
        <v>1</v>
      </c>
      <c r="E165" s="49">
        <v>0</v>
      </c>
      <c r="F165" s="49">
        <v>747</v>
      </c>
      <c r="G165" s="49">
        <v>2.5</v>
      </c>
      <c r="H165" s="49">
        <v>1.302</v>
      </c>
      <c r="I165" s="222">
        <f t="shared" si="74"/>
        <v>29.2</v>
      </c>
      <c r="J165" s="222">
        <v>29177.82</v>
      </c>
      <c r="K165" s="65"/>
      <c r="L165" s="65"/>
      <c r="M165" s="65"/>
      <c r="N165" s="65"/>
      <c r="O165" s="47">
        <f t="shared" si="75"/>
        <v>29.2</v>
      </c>
      <c r="P165" s="47">
        <f t="shared" si="76"/>
        <v>29.2</v>
      </c>
      <c r="Q165" s="222">
        <v>28.2</v>
      </c>
      <c r="R165" s="222"/>
      <c r="S165" s="222"/>
    </row>
    <row r="166" spans="1:19" s="39" customFormat="1" ht="15.75" customHeight="1">
      <c r="A166" s="220" t="s">
        <v>117</v>
      </c>
      <c r="B166" s="49">
        <f t="shared" si="73"/>
        <v>0</v>
      </c>
      <c r="C166" s="49">
        <v>0</v>
      </c>
      <c r="D166" s="49">
        <v>0</v>
      </c>
      <c r="E166" s="49">
        <v>0</v>
      </c>
      <c r="F166" s="49">
        <v>747</v>
      </c>
      <c r="G166" s="49">
        <v>2.5</v>
      </c>
      <c r="H166" s="49">
        <v>1.302</v>
      </c>
      <c r="I166" s="222">
        <f t="shared" si="74"/>
        <v>0</v>
      </c>
      <c r="J166" s="222">
        <v>0</v>
      </c>
      <c r="K166" s="65"/>
      <c r="L166" s="65"/>
      <c r="M166" s="65"/>
      <c r="N166" s="65"/>
      <c r="O166" s="47">
        <f t="shared" si="75"/>
        <v>0</v>
      </c>
      <c r="P166" s="47">
        <f t="shared" si="76"/>
        <v>0</v>
      </c>
      <c r="Q166" s="222">
        <v>0</v>
      </c>
      <c r="R166" s="222"/>
      <c r="S166" s="222"/>
    </row>
    <row r="167" spans="1:19" s="39" customFormat="1" ht="15.75" customHeight="1">
      <c r="A167" s="220" t="s">
        <v>118</v>
      </c>
      <c r="B167" s="49">
        <f t="shared" si="73"/>
        <v>0</v>
      </c>
      <c r="C167" s="49">
        <v>0</v>
      </c>
      <c r="D167" s="49">
        <v>0</v>
      </c>
      <c r="E167" s="49">
        <v>0</v>
      </c>
      <c r="F167" s="49">
        <v>747</v>
      </c>
      <c r="G167" s="49">
        <v>2.5</v>
      </c>
      <c r="H167" s="49">
        <v>1.302</v>
      </c>
      <c r="I167" s="222">
        <f t="shared" si="74"/>
        <v>0</v>
      </c>
      <c r="J167" s="222">
        <v>0</v>
      </c>
      <c r="K167" s="65"/>
      <c r="L167" s="65"/>
      <c r="M167" s="65"/>
      <c r="N167" s="65"/>
      <c r="O167" s="47">
        <f t="shared" si="75"/>
        <v>0</v>
      </c>
      <c r="P167" s="47">
        <f t="shared" si="76"/>
        <v>0</v>
      </c>
      <c r="Q167" s="222">
        <v>0</v>
      </c>
      <c r="R167" s="222"/>
      <c r="S167" s="222"/>
    </row>
    <row r="168" spans="1:19" s="39" customFormat="1" ht="15.75" customHeight="1">
      <c r="A168" s="220" t="s">
        <v>119</v>
      </c>
      <c r="B168" s="49">
        <f t="shared" si="73"/>
        <v>0</v>
      </c>
      <c r="C168" s="49">
        <v>0</v>
      </c>
      <c r="D168" s="49">
        <v>0</v>
      </c>
      <c r="E168" s="49">
        <v>0</v>
      </c>
      <c r="F168" s="49">
        <v>747</v>
      </c>
      <c r="G168" s="49">
        <v>2.5</v>
      </c>
      <c r="H168" s="49">
        <v>1.302</v>
      </c>
      <c r="I168" s="222">
        <f t="shared" si="74"/>
        <v>0</v>
      </c>
      <c r="J168" s="222">
        <v>0</v>
      </c>
      <c r="K168" s="65"/>
      <c r="L168" s="65"/>
      <c r="M168" s="65"/>
      <c r="N168" s="65"/>
      <c r="O168" s="47">
        <f t="shared" si="75"/>
        <v>0</v>
      </c>
      <c r="P168" s="47">
        <f t="shared" si="76"/>
        <v>0</v>
      </c>
      <c r="Q168" s="222">
        <v>0</v>
      </c>
      <c r="R168" s="222"/>
      <c r="S168" s="222"/>
    </row>
    <row r="169" spans="1:19" s="39" customFormat="1" ht="15.75" customHeight="1">
      <c r="A169" s="220" t="s">
        <v>120</v>
      </c>
      <c r="B169" s="49">
        <f t="shared" si="73"/>
        <v>0</v>
      </c>
      <c r="C169" s="49">
        <v>0</v>
      </c>
      <c r="D169" s="49">
        <v>0</v>
      </c>
      <c r="E169" s="49">
        <v>0</v>
      </c>
      <c r="F169" s="49">
        <v>747</v>
      </c>
      <c r="G169" s="49">
        <v>2.5</v>
      </c>
      <c r="H169" s="49">
        <v>1.302</v>
      </c>
      <c r="I169" s="222">
        <f t="shared" si="74"/>
        <v>0</v>
      </c>
      <c r="J169" s="222">
        <v>0</v>
      </c>
      <c r="K169" s="65"/>
      <c r="L169" s="65"/>
      <c r="M169" s="65" t="s">
        <v>270</v>
      </c>
      <c r="N169" s="65"/>
      <c r="O169" s="47">
        <f t="shared" si="75"/>
        <v>0</v>
      </c>
      <c r="P169" s="47">
        <f t="shared" si="76"/>
        <v>0</v>
      </c>
      <c r="Q169" s="222">
        <v>0</v>
      </c>
      <c r="R169" s="222"/>
      <c r="S169" s="222"/>
    </row>
    <row r="170" spans="1:19" s="39" customFormat="1" ht="24.75" customHeight="1" hidden="1" thickBot="1">
      <c r="A170" s="229" t="s">
        <v>15</v>
      </c>
      <c r="B170" s="230">
        <f>SUM(B171:B179)</f>
        <v>1882</v>
      </c>
      <c r="C170" s="230">
        <f>SUM(C171:C179)</f>
        <v>579</v>
      </c>
      <c r="D170" s="230">
        <f>SUM(D171:D179)</f>
        <v>678</v>
      </c>
      <c r="E170" s="230">
        <f>SUM(E171:E179)</f>
        <v>625</v>
      </c>
      <c r="F170" s="230"/>
      <c r="G170" s="230"/>
      <c r="H170" s="230"/>
      <c r="I170" s="231">
        <f>SUM(I171:I179)</f>
        <v>37480.6</v>
      </c>
      <c r="J170" s="232">
        <f aca="true" t="shared" si="77" ref="J170:P170">SUM(J171:J179)</f>
        <v>45622515.9376</v>
      </c>
      <c r="K170" s="233">
        <f t="shared" si="77"/>
        <v>42639.5</v>
      </c>
      <c r="L170" s="234">
        <f t="shared" si="77"/>
        <v>5158.899999999999</v>
      </c>
      <c r="M170" s="234">
        <f t="shared" si="77"/>
        <v>41902200</v>
      </c>
      <c r="N170" s="234">
        <f t="shared" si="77"/>
        <v>-41864719.39999999</v>
      </c>
      <c r="O170" s="234">
        <f>SUM(O171:O179)</f>
        <v>37480.6</v>
      </c>
      <c r="P170" s="234">
        <f t="shared" si="77"/>
        <v>37480.6</v>
      </c>
      <c r="Q170" s="232">
        <f>SUM(Q171:Q179)</f>
        <v>45622.51593760001</v>
      </c>
      <c r="R170" s="232">
        <f>SUM(R171:R179)</f>
        <v>42.639500000000005</v>
      </c>
      <c r="S170" s="232">
        <f>SUM(S171:S179)</f>
        <v>5.158899999999998</v>
      </c>
    </row>
    <row r="171" spans="1:19" s="39" customFormat="1" ht="18" customHeight="1" hidden="1">
      <c r="A171" s="40" t="s">
        <v>14</v>
      </c>
      <c r="B171" s="41">
        <f>C171+D171+E171</f>
        <v>1093</v>
      </c>
      <c r="C171" s="41">
        <f aca="true" t="shared" si="78" ref="C171:E179">C161+C151+C141+C129+C119+C107+C96+C85+C74+C64+C54+C32+C21</f>
        <v>390</v>
      </c>
      <c r="D171" s="41">
        <f t="shared" si="78"/>
        <v>537</v>
      </c>
      <c r="E171" s="41">
        <f t="shared" si="78"/>
        <v>166</v>
      </c>
      <c r="F171" s="41"/>
      <c r="G171" s="41"/>
      <c r="H171" s="41"/>
      <c r="I171" s="42">
        <f aca="true" t="shared" si="79" ref="I171:I179">I161+I151+I141+I129+I119+I107+I96+I85+I74+I64+I54+I32+I21</f>
        <v>22455.000000000004</v>
      </c>
      <c r="J171" s="213">
        <v>27446313.76</v>
      </c>
      <c r="K171" s="43">
        <v>28490.4</v>
      </c>
      <c r="L171" s="44">
        <f>K171-I171</f>
        <v>6035.399999999998</v>
      </c>
      <c r="M171" s="45">
        <v>28274500</v>
      </c>
      <c r="N171" s="46">
        <f>I171-M171</f>
        <v>-28252045</v>
      </c>
      <c r="O171" s="47">
        <f>I171</f>
        <v>22455.000000000004</v>
      </c>
      <c r="P171" s="47">
        <f>O171</f>
        <v>22455.000000000004</v>
      </c>
      <c r="Q171" s="235">
        <f>J171/1000</f>
        <v>27446.31376</v>
      </c>
      <c r="R171" s="235">
        <f aca="true" t="shared" si="80" ref="R171:S179">K171/1000</f>
        <v>28.4904</v>
      </c>
      <c r="S171" s="235">
        <f t="shared" si="80"/>
        <v>6.035399999999997</v>
      </c>
    </row>
    <row r="172" spans="1:19" s="39" customFormat="1" ht="18" customHeight="1" hidden="1">
      <c r="A172" s="48" t="s">
        <v>113</v>
      </c>
      <c r="B172" s="49">
        <f aca="true" t="shared" si="81" ref="B172:B179">C172+D172+E172</f>
        <v>164</v>
      </c>
      <c r="C172" s="49">
        <f t="shared" si="78"/>
        <v>40</v>
      </c>
      <c r="D172" s="49">
        <f t="shared" si="78"/>
        <v>23</v>
      </c>
      <c r="E172" s="49">
        <f t="shared" si="78"/>
        <v>101</v>
      </c>
      <c r="F172" s="49"/>
      <c r="G172" s="49"/>
      <c r="H172" s="49"/>
      <c r="I172" s="50">
        <f t="shared" si="79"/>
        <v>3138.2</v>
      </c>
      <c r="J172" s="214">
        <v>3687289.86</v>
      </c>
      <c r="K172" s="43">
        <v>2659.5</v>
      </c>
      <c r="L172" s="44">
        <f aca="true" t="shared" si="82" ref="L172:L179">K172-I172</f>
        <v>-478.6999999999998</v>
      </c>
      <c r="M172" s="45">
        <v>2654900</v>
      </c>
      <c r="N172" s="46">
        <f aca="true" t="shared" si="83" ref="N172:N179">I172-M172</f>
        <v>-2651761.8</v>
      </c>
      <c r="O172" s="47">
        <f aca="true" t="shared" si="84" ref="O172:O179">I172</f>
        <v>3138.2</v>
      </c>
      <c r="P172" s="47">
        <f aca="true" t="shared" si="85" ref="P172:P179">O172</f>
        <v>3138.2</v>
      </c>
      <c r="Q172" s="214">
        <f>J172/1000</f>
        <v>3687.28986</v>
      </c>
      <c r="R172" s="214">
        <f t="shared" si="80"/>
        <v>2.6595</v>
      </c>
      <c r="S172" s="214">
        <f t="shared" si="80"/>
        <v>-0.4786999999999998</v>
      </c>
    </row>
    <row r="173" spans="1:19" s="39" customFormat="1" ht="18" customHeight="1" hidden="1">
      <c r="A173" s="48" t="s">
        <v>109</v>
      </c>
      <c r="B173" s="49">
        <f t="shared" si="81"/>
        <v>86</v>
      </c>
      <c r="C173" s="49">
        <f t="shared" si="78"/>
        <v>25</v>
      </c>
      <c r="D173" s="49">
        <f t="shared" si="78"/>
        <v>15</v>
      </c>
      <c r="E173" s="49">
        <f t="shared" si="78"/>
        <v>46</v>
      </c>
      <c r="F173" s="49"/>
      <c r="G173" s="49"/>
      <c r="H173" s="49"/>
      <c r="I173" s="50">
        <f t="shared" si="79"/>
        <v>1507.8</v>
      </c>
      <c r="J173" s="214">
        <v>1880429.82</v>
      </c>
      <c r="K173" s="43">
        <v>1584.3</v>
      </c>
      <c r="L173" s="44">
        <f t="shared" si="82"/>
        <v>76.5</v>
      </c>
      <c r="M173" s="45">
        <v>1363600</v>
      </c>
      <c r="N173" s="46">
        <f t="shared" si="83"/>
        <v>-1362092.2</v>
      </c>
      <c r="O173" s="47">
        <f t="shared" si="84"/>
        <v>1507.8</v>
      </c>
      <c r="P173" s="47">
        <f t="shared" si="85"/>
        <v>1507.8</v>
      </c>
      <c r="Q173" s="214">
        <f aca="true" t="shared" si="86" ref="Q173:Q179">J173/1000</f>
        <v>1880.42982</v>
      </c>
      <c r="R173" s="214">
        <f t="shared" si="80"/>
        <v>1.5843</v>
      </c>
      <c r="S173" s="214">
        <f t="shared" si="80"/>
        <v>0.0765</v>
      </c>
    </row>
    <row r="174" spans="1:19" s="39" customFormat="1" ht="18" customHeight="1" hidden="1">
      <c r="A174" s="48" t="s">
        <v>116</v>
      </c>
      <c r="B174" s="49">
        <f t="shared" si="81"/>
        <v>34</v>
      </c>
      <c r="C174" s="49">
        <f t="shared" si="78"/>
        <v>6</v>
      </c>
      <c r="D174" s="49">
        <f t="shared" si="78"/>
        <v>4</v>
      </c>
      <c r="E174" s="49">
        <f t="shared" si="78"/>
        <v>24</v>
      </c>
      <c r="F174" s="49"/>
      <c r="G174" s="49"/>
      <c r="H174" s="49"/>
      <c r="I174" s="50">
        <f t="shared" si="79"/>
        <v>724.8</v>
      </c>
      <c r="J174" s="214">
        <v>754559.5176000001</v>
      </c>
      <c r="K174" s="43">
        <v>620.8</v>
      </c>
      <c r="L174" s="44">
        <f t="shared" si="82"/>
        <v>-104</v>
      </c>
      <c r="M174" s="45">
        <v>642200</v>
      </c>
      <c r="N174" s="46">
        <f t="shared" si="83"/>
        <v>-641475.2</v>
      </c>
      <c r="O174" s="47">
        <f t="shared" si="84"/>
        <v>724.8</v>
      </c>
      <c r="P174" s="47">
        <f t="shared" si="85"/>
        <v>724.8</v>
      </c>
      <c r="Q174" s="214">
        <f t="shared" si="86"/>
        <v>754.5595176000002</v>
      </c>
      <c r="R174" s="214">
        <f t="shared" si="80"/>
        <v>0.6207999999999999</v>
      </c>
      <c r="S174" s="214">
        <f t="shared" si="80"/>
        <v>-0.104</v>
      </c>
    </row>
    <row r="175" spans="1:19" s="39" customFormat="1" ht="18" customHeight="1" hidden="1">
      <c r="A175" s="48" t="s">
        <v>112</v>
      </c>
      <c r="B175" s="49">
        <f t="shared" si="81"/>
        <v>69</v>
      </c>
      <c r="C175" s="49">
        <f t="shared" si="78"/>
        <v>22</v>
      </c>
      <c r="D175" s="49">
        <f t="shared" si="78"/>
        <v>19</v>
      </c>
      <c r="E175" s="49">
        <f t="shared" si="78"/>
        <v>28</v>
      </c>
      <c r="F175" s="49"/>
      <c r="G175" s="49"/>
      <c r="H175" s="49"/>
      <c r="I175" s="50">
        <f t="shared" si="79"/>
        <v>1429.6</v>
      </c>
      <c r="J175" s="214">
        <v>1459086.2999999998</v>
      </c>
      <c r="K175" s="43">
        <v>1294.2</v>
      </c>
      <c r="L175" s="44">
        <f t="shared" si="82"/>
        <v>-135.39999999999986</v>
      </c>
      <c r="M175" s="45">
        <v>1247300</v>
      </c>
      <c r="N175" s="46">
        <f t="shared" si="83"/>
        <v>-1245870.4</v>
      </c>
      <c r="O175" s="47">
        <f t="shared" si="84"/>
        <v>1429.6</v>
      </c>
      <c r="P175" s="47">
        <f t="shared" si="85"/>
        <v>1429.6</v>
      </c>
      <c r="Q175" s="214">
        <f t="shared" si="86"/>
        <v>1459.0862999999997</v>
      </c>
      <c r="R175" s="214">
        <f t="shared" si="80"/>
        <v>1.2942</v>
      </c>
      <c r="S175" s="214">
        <f t="shared" si="80"/>
        <v>-0.13539999999999985</v>
      </c>
    </row>
    <row r="176" spans="1:19" s="39" customFormat="1" ht="18" customHeight="1" hidden="1">
      <c r="A176" s="48" t="s">
        <v>117</v>
      </c>
      <c r="B176" s="49">
        <f t="shared" si="81"/>
        <v>110</v>
      </c>
      <c r="C176" s="49">
        <f t="shared" si="78"/>
        <v>19</v>
      </c>
      <c r="D176" s="49">
        <f t="shared" si="78"/>
        <v>23</v>
      </c>
      <c r="E176" s="49">
        <f t="shared" si="78"/>
        <v>68</v>
      </c>
      <c r="F176" s="49"/>
      <c r="G176" s="49"/>
      <c r="H176" s="49"/>
      <c r="I176" s="50">
        <f t="shared" si="79"/>
        <v>2115.7000000000003</v>
      </c>
      <c r="J176" s="214">
        <v>2518508.0600000005</v>
      </c>
      <c r="K176" s="43">
        <v>1699</v>
      </c>
      <c r="L176" s="44">
        <f t="shared" si="82"/>
        <v>-416.7000000000003</v>
      </c>
      <c r="M176" s="45">
        <v>1728900</v>
      </c>
      <c r="N176" s="46">
        <f t="shared" si="83"/>
        <v>-1726784.3</v>
      </c>
      <c r="O176" s="47">
        <f t="shared" si="84"/>
        <v>2115.7000000000003</v>
      </c>
      <c r="P176" s="47">
        <f t="shared" si="85"/>
        <v>2115.7000000000003</v>
      </c>
      <c r="Q176" s="214">
        <f t="shared" si="86"/>
        <v>2518.5080600000006</v>
      </c>
      <c r="R176" s="214">
        <f t="shared" si="80"/>
        <v>1.699</v>
      </c>
      <c r="S176" s="214">
        <f t="shared" si="80"/>
        <v>-0.4167000000000003</v>
      </c>
    </row>
    <row r="177" spans="1:19" s="39" customFormat="1" ht="18" customHeight="1" hidden="1">
      <c r="A177" s="48" t="s">
        <v>118</v>
      </c>
      <c r="B177" s="49">
        <f t="shared" si="81"/>
        <v>67</v>
      </c>
      <c r="C177" s="49">
        <f t="shared" si="78"/>
        <v>14</v>
      </c>
      <c r="D177" s="49">
        <f t="shared" si="78"/>
        <v>7</v>
      </c>
      <c r="E177" s="49">
        <f t="shared" si="78"/>
        <v>46</v>
      </c>
      <c r="F177" s="49"/>
      <c r="G177" s="49"/>
      <c r="H177" s="49"/>
      <c r="I177" s="50">
        <f t="shared" si="79"/>
        <v>1232.7</v>
      </c>
      <c r="J177" s="214">
        <v>1728486.08</v>
      </c>
      <c r="K177" s="43">
        <v>1146.9</v>
      </c>
      <c r="L177" s="44">
        <f t="shared" si="82"/>
        <v>-85.79999999999995</v>
      </c>
      <c r="M177" s="45">
        <v>1145500</v>
      </c>
      <c r="N177" s="46">
        <f t="shared" si="83"/>
        <v>-1144267.3</v>
      </c>
      <c r="O177" s="47">
        <f t="shared" si="84"/>
        <v>1232.7</v>
      </c>
      <c r="P177" s="47">
        <f t="shared" si="85"/>
        <v>1232.7</v>
      </c>
      <c r="Q177" s="214">
        <f t="shared" si="86"/>
        <v>1728.4860800000001</v>
      </c>
      <c r="R177" s="214">
        <f t="shared" si="80"/>
        <v>1.1469</v>
      </c>
      <c r="S177" s="214">
        <f t="shared" si="80"/>
        <v>-0.08579999999999996</v>
      </c>
    </row>
    <row r="178" spans="1:19" s="39" customFormat="1" ht="18" customHeight="1" hidden="1">
      <c r="A178" s="48" t="s">
        <v>119</v>
      </c>
      <c r="B178" s="49">
        <f t="shared" si="81"/>
        <v>109</v>
      </c>
      <c r="C178" s="49">
        <f t="shared" si="78"/>
        <v>34</v>
      </c>
      <c r="D178" s="49">
        <f t="shared" si="78"/>
        <v>25</v>
      </c>
      <c r="E178" s="49">
        <f t="shared" si="78"/>
        <v>50</v>
      </c>
      <c r="F178" s="49"/>
      <c r="G178" s="49"/>
      <c r="H178" s="49"/>
      <c r="I178" s="50">
        <f t="shared" si="79"/>
        <v>1999.1000000000001</v>
      </c>
      <c r="J178" s="214">
        <v>2609162.3600000003</v>
      </c>
      <c r="K178" s="43">
        <v>2273.1</v>
      </c>
      <c r="L178" s="44">
        <f t="shared" si="82"/>
        <v>273.9999999999998</v>
      </c>
      <c r="M178" s="45">
        <v>2225800</v>
      </c>
      <c r="N178" s="46">
        <f t="shared" si="83"/>
        <v>-2223800.9</v>
      </c>
      <c r="O178" s="47">
        <f t="shared" si="84"/>
        <v>1999.1000000000001</v>
      </c>
      <c r="P178" s="47">
        <f t="shared" si="85"/>
        <v>1999.1000000000001</v>
      </c>
      <c r="Q178" s="214">
        <f t="shared" si="86"/>
        <v>2609.1623600000003</v>
      </c>
      <c r="R178" s="214">
        <f t="shared" si="80"/>
        <v>2.2731</v>
      </c>
      <c r="S178" s="214">
        <f t="shared" si="80"/>
        <v>0.2739999999999998</v>
      </c>
    </row>
    <row r="179" spans="1:19" s="39" customFormat="1" ht="18" customHeight="1" hidden="1" thickBot="1">
      <c r="A179" s="51" t="s">
        <v>120</v>
      </c>
      <c r="B179" s="52">
        <f t="shared" si="81"/>
        <v>150</v>
      </c>
      <c r="C179" s="52">
        <f t="shared" si="78"/>
        <v>29</v>
      </c>
      <c r="D179" s="52">
        <f t="shared" si="78"/>
        <v>25</v>
      </c>
      <c r="E179" s="52">
        <f t="shared" si="78"/>
        <v>96</v>
      </c>
      <c r="F179" s="52"/>
      <c r="G179" s="52"/>
      <c r="H179" s="52"/>
      <c r="I179" s="53">
        <f t="shared" si="79"/>
        <v>2877.7</v>
      </c>
      <c r="J179" s="215">
        <v>3538680.1799999997</v>
      </c>
      <c r="K179" s="43">
        <v>2871.3</v>
      </c>
      <c r="L179" s="44">
        <f t="shared" si="82"/>
        <v>-6.399999999999636</v>
      </c>
      <c r="M179" s="45">
        <v>2619500</v>
      </c>
      <c r="N179" s="46">
        <f t="shared" si="83"/>
        <v>-2616622.3</v>
      </c>
      <c r="O179" s="47">
        <f t="shared" si="84"/>
        <v>2877.7</v>
      </c>
      <c r="P179" s="47">
        <f t="shared" si="85"/>
        <v>2877.7</v>
      </c>
      <c r="Q179" s="215">
        <f t="shared" si="86"/>
        <v>3538.68018</v>
      </c>
      <c r="R179" s="215">
        <f t="shared" si="80"/>
        <v>2.8713</v>
      </c>
      <c r="S179" s="215">
        <f t="shared" si="80"/>
        <v>-0.006399999999999636</v>
      </c>
    </row>
  </sheetData>
  <sheetProtection/>
  <mergeCells count="19">
    <mergeCell ref="R5:R6"/>
    <mergeCell ref="S5:S6"/>
    <mergeCell ref="A17:S17"/>
    <mergeCell ref="A2:S2"/>
    <mergeCell ref="A1:S1"/>
    <mergeCell ref="Q5:Q6"/>
    <mergeCell ref="H5:H6"/>
    <mergeCell ref="I5:I6"/>
    <mergeCell ref="J5:J6"/>
    <mergeCell ref="K5:K6"/>
    <mergeCell ref="P5:P6"/>
    <mergeCell ref="G5:G6"/>
    <mergeCell ref="A3:Q3"/>
    <mergeCell ref="L5:L6"/>
    <mergeCell ref="A5:A6"/>
    <mergeCell ref="B5:B6"/>
    <mergeCell ref="C5:E5"/>
    <mergeCell ref="F5:F6"/>
    <mergeCell ref="O5:O6"/>
  </mergeCells>
  <printOptions/>
  <pageMargins left="0.2362204724409449" right="0.1968503937007874" top="0.7480314960629921" bottom="0.35433070866141736" header="0.31496062992125984" footer="0.31496062992125984"/>
  <pageSetup fitToHeight="2" fitToWidth="1" horizontalDpi="600" verticalDpi="600" orientation="portrait" paperSize="9" scale="47" r:id="rId3"/>
  <rowBreaks count="2" manualBreakCount="2">
    <brk id="77" max="18" man="1"/>
    <brk id="106" max="18" man="1"/>
  </rowBreaks>
  <colBreaks count="3" manualBreakCount="3">
    <brk id="30" max="65535" man="1"/>
    <brk id="45" max="65535" man="1"/>
    <brk id="55" max="6553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0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3.625" style="28" customWidth="1"/>
    <col min="2" max="2" width="20.125" style="28" customWidth="1"/>
    <col min="3" max="3" width="32.625" style="28" customWidth="1"/>
    <col min="4" max="4" width="13.875" style="28" customWidth="1"/>
    <col min="5" max="5" width="12.25390625" style="28" customWidth="1"/>
    <col min="6" max="6" width="14.875" style="28" customWidth="1"/>
    <col min="7" max="7" width="17.75390625" style="28" customWidth="1"/>
    <col min="8" max="16384" width="9.125" style="28" customWidth="1"/>
  </cols>
  <sheetData>
    <row r="1" spans="1:6" ht="15.75">
      <c r="A1" s="562" t="s">
        <v>107</v>
      </c>
      <c r="B1" s="562"/>
      <c r="C1" s="562"/>
      <c r="D1" s="562"/>
      <c r="E1" s="562"/>
      <c r="F1" s="562"/>
    </row>
    <row r="2" spans="1:6" ht="60.75" customHeight="1">
      <c r="A2" s="535" t="s">
        <v>496</v>
      </c>
      <c r="B2" s="535"/>
      <c r="C2" s="535"/>
      <c r="D2" s="535"/>
      <c r="E2" s="535"/>
      <c r="F2" s="535"/>
    </row>
    <row r="5" ht="15.75">
      <c r="F5" s="28" t="s">
        <v>30</v>
      </c>
    </row>
    <row r="6" spans="1:6" ht="33.75" customHeight="1">
      <c r="A6" s="563" t="s">
        <v>322</v>
      </c>
      <c r="B6" s="563" t="s">
        <v>497</v>
      </c>
      <c r="C6" s="563" t="s">
        <v>498</v>
      </c>
      <c r="D6" s="539" t="s">
        <v>499</v>
      </c>
      <c r="E6" s="539" t="s">
        <v>500</v>
      </c>
      <c r="F6" s="539" t="s">
        <v>501</v>
      </c>
    </row>
    <row r="7" spans="1:6" ht="90" customHeight="1">
      <c r="A7" s="563"/>
      <c r="B7" s="563"/>
      <c r="C7" s="563"/>
      <c r="D7" s="564"/>
      <c r="E7" s="564"/>
      <c r="F7" s="564"/>
    </row>
    <row r="8" spans="1:6" ht="15.75">
      <c r="A8" s="406">
        <v>1</v>
      </c>
      <c r="B8" s="406">
        <v>2</v>
      </c>
      <c r="C8" s="406">
        <v>3</v>
      </c>
      <c r="D8" s="407">
        <v>4</v>
      </c>
      <c r="E8" s="406">
        <v>5</v>
      </c>
      <c r="F8" s="407">
        <v>6</v>
      </c>
    </row>
    <row r="9" spans="1:6" ht="15.75">
      <c r="A9" s="65" t="s">
        <v>10</v>
      </c>
      <c r="B9" s="408">
        <v>11519.9</v>
      </c>
      <c r="C9" s="408">
        <v>2720</v>
      </c>
      <c r="D9" s="317">
        <f>B9-C9</f>
        <v>8799.9</v>
      </c>
      <c r="E9" s="317">
        <v>8799.9</v>
      </c>
      <c r="F9" s="407">
        <v>8799.9</v>
      </c>
    </row>
    <row r="10" spans="1:6" ht="15.75">
      <c r="A10" s="65" t="s">
        <v>12</v>
      </c>
      <c r="B10" s="408"/>
      <c r="C10" s="408"/>
      <c r="D10" s="317">
        <f>D9</f>
        <v>8799.9</v>
      </c>
      <c r="E10" s="317">
        <f>E9</f>
        <v>8799.9</v>
      </c>
      <c r="F10" s="317">
        <f>F9</f>
        <v>8799.9</v>
      </c>
    </row>
  </sheetData>
  <sheetProtection/>
  <mergeCells count="8">
    <mergeCell ref="A1:F1"/>
    <mergeCell ref="A2:F2"/>
    <mergeCell ref="A6:A7"/>
    <mergeCell ref="B6:B7"/>
    <mergeCell ref="C6:C7"/>
    <mergeCell ref="D6:D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6.375" style="100" customWidth="1"/>
    <col min="2" max="2" width="13.375" style="100" hidden="1" customWidth="1"/>
    <col min="3" max="3" width="14.125" style="100" hidden="1" customWidth="1"/>
    <col min="4" max="4" width="12.625" style="100" hidden="1" customWidth="1"/>
    <col min="5" max="5" width="12.75390625" style="100" hidden="1" customWidth="1"/>
    <col min="6" max="6" width="18.125" style="100" customWidth="1"/>
    <col min="7" max="7" width="19.25390625" style="100" customWidth="1"/>
    <col min="8" max="8" width="17.375" style="100" customWidth="1"/>
    <col min="9" max="9" width="18.125" style="100" customWidth="1"/>
    <col min="10" max="10" width="19.25390625" style="100" customWidth="1"/>
    <col min="11" max="11" width="18.125" style="100" customWidth="1"/>
    <col min="12" max="12" width="9.125" style="100" hidden="1" customWidth="1"/>
    <col min="13" max="14" width="18.125" style="100" customWidth="1"/>
    <col min="15" max="16384" width="9.125" style="100" customWidth="1"/>
  </cols>
  <sheetData>
    <row r="1" spans="1:14" ht="15.75">
      <c r="A1" s="567" t="s">
        <v>107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</row>
    <row r="2" spans="1:14" ht="53.25" customHeight="1">
      <c r="A2" s="566" t="s">
        <v>385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12" ht="16.5" customHeight="1">
      <c r="A3" s="568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101"/>
    </row>
    <row r="4" spans="1:14" s="12" customFormat="1" ht="17.25" customHeight="1">
      <c r="A4" s="94"/>
      <c r="B4" s="29"/>
      <c r="C4" s="30"/>
      <c r="D4" s="29"/>
      <c r="E4" s="29"/>
      <c r="F4" s="29"/>
      <c r="G4" s="29"/>
      <c r="H4" s="29"/>
      <c r="I4" s="29"/>
      <c r="J4" s="29"/>
      <c r="K4" s="30"/>
      <c r="L4" s="30"/>
      <c r="M4" s="30"/>
      <c r="N4" s="30"/>
    </row>
    <row r="5" spans="6:14" s="12" customFormat="1" ht="15.75">
      <c r="F5" s="11"/>
      <c r="G5" s="11"/>
      <c r="H5" s="11"/>
      <c r="I5" s="11"/>
      <c r="J5" s="11"/>
      <c r="K5" s="102"/>
      <c r="M5" s="102"/>
      <c r="N5" s="102" t="s">
        <v>30</v>
      </c>
    </row>
    <row r="6" spans="1:14" s="12" customFormat="1" ht="42" customHeight="1">
      <c r="A6" s="565" t="s">
        <v>308</v>
      </c>
      <c r="B6" s="103"/>
      <c r="C6" s="103"/>
      <c r="D6" s="103"/>
      <c r="E6" s="103"/>
      <c r="F6" s="565" t="s">
        <v>222</v>
      </c>
      <c r="G6" s="565"/>
      <c r="H6" s="565"/>
      <c r="I6" s="565"/>
      <c r="J6" s="565"/>
      <c r="K6" s="565"/>
      <c r="L6" s="565"/>
      <c r="M6" s="565"/>
      <c r="N6" s="565"/>
    </row>
    <row r="7" spans="1:14" s="12" customFormat="1" ht="132" customHeight="1">
      <c r="A7" s="565"/>
      <c r="B7" s="103"/>
      <c r="C7" s="103"/>
      <c r="D7" s="103"/>
      <c r="E7" s="103"/>
      <c r="F7" s="93" t="s">
        <v>145</v>
      </c>
      <c r="G7" s="93" t="s">
        <v>146</v>
      </c>
      <c r="H7" s="93" t="s">
        <v>219</v>
      </c>
      <c r="I7" s="93" t="s">
        <v>221</v>
      </c>
      <c r="J7" s="104" t="s">
        <v>220</v>
      </c>
      <c r="K7" s="93" t="s">
        <v>301</v>
      </c>
      <c r="L7" s="103"/>
      <c r="M7" s="93" t="s">
        <v>302</v>
      </c>
      <c r="N7" s="93" t="s">
        <v>331</v>
      </c>
    </row>
    <row r="8" spans="1:14" s="12" customFormat="1" ht="15.75">
      <c r="A8" s="105" t="s">
        <v>14</v>
      </c>
      <c r="B8" s="103"/>
      <c r="C8" s="103"/>
      <c r="D8" s="103"/>
      <c r="E8" s="103"/>
      <c r="F8" s="106">
        <v>5480.8</v>
      </c>
      <c r="G8" s="106">
        <v>5374.8</v>
      </c>
      <c r="H8" s="106">
        <v>1</v>
      </c>
      <c r="I8" s="106">
        <v>5490.5</v>
      </c>
      <c r="J8" s="106">
        <v>9.7</v>
      </c>
      <c r="K8" s="107">
        <v>5373.8</v>
      </c>
      <c r="L8" s="103"/>
      <c r="M8" s="107">
        <v>5373.8</v>
      </c>
      <c r="N8" s="107">
        <v>5373.8</v>
      </c>
    </row>
    <row r="9" spans="1:14" s="12" customFormat="1" ht="15.75">
      <c r="A9" s="89" t="s">
        <v>113</v>
      </c>
      <c r="B9" s="103"/>
      <c r="C9" s="103"/>
      <c r="D9" s="103"/>
      <c r="E9" s="103"/>
      <c r="F9" s="106"/>
      <c r="G9" s="106"/>
      <c r="H9" s="106"/>
      <c r="I9" s="106"/>
      <c r="J9" s="106"/>
      <c r="K9" s="107"/>
      <c r="L9" s="103"/>
      <c r="M9" s="107"/>
      <c r="N9" s="107"/>
    </row>
    <row r="10" spans="1:14" s="12" customFormat="1" ht="15.75">
      <c r="A10" s="89" t="s">
        <v>109</v>
      </c>
      <c r="B10" s="103"/>
      <c r="C10" s="103"/>
      <c r="D10" s="103"/>
      <c r="E10" s="103"/>
      <c r="F10" s="106"/>
      <c r="G10" s="106"/>
      <c r="H10" s="106"/>
      <c r="I10" s="106"/>
      <c r="J10" s="106"/>
      <c r="K10" s="107"/>
      <c r="L10" s="103"/>
      <c r="M10" s="107"/>
      <c r="N10" s="107"/>
    </row>
    <row r="11" spans="1:14" s="12" customFormat="1" ht="15.75">
      <c r="A11" s="89" t="s">
        <v>116</v>
      </c>
      <c r="B11" s="103"/>
      <c r="C11" s="103"/>
      <c r="D11" s="103"/>
      <c r="E11" s="103"/>
      <c r="F11" s="106"/>
      <c r="G11" s="106"/>
      <c r="H11" s="106"/>
      <c r="I11" s="106"/>
      <c r="J11" s="106"/>
      <c r="K11" s="107"/>
      <c r="L11" s="103"/>
      <c r="M11" s="107"/>
      <c r="N11" s="107"/>
    </row>
    <row r="12" spans="1:14" s="12" customFormat="1" ht="15.75">
      <c r="A12" s="89" t="s">
        <v>112</v>
      </c>
      <c r="B12" s="103"/>
      <c r="C12" s="103"/>
      <c r="D12" s="103"/>
      <c r="E12" s="103"/>
      <c r="F12" s="106">
        <v>5480.8</v>
      </c>
      <c r="G12" s="106">
        <v>51.9</v>
      </c>
      <c r="H12" s="106">
        <v>2.9</v>
      </c>
      <c r="I12" s="106">
        <v>5490.5</v>
      </c>
      <c r="J12" s="106">
        <v>9.7</v>
      </c>
      <c r="K12" s="107">
        <v>49</v>
      </c>
      <c r="L12" s="103"/>
      <c r="M12" s="107">
        <v>49</v>
      </c>
      <c r="N12" s="107">
        <v>49</v>
      </c>
    </row>
    <row r="13" spans="1:14" s="12" customFormat="1" ht="15.75">
      <c r="A13" s="89" t="s">
        <v>117</v>
      </c>
      <c r="B13" s="103"/>
      <c r="C13" s="103"/>
      <c r="D13" s="103"/>
      <c r="E13" s="103"/>
      <c r="F13" s="106"/>
      <c r="G13" s="106"/>
      <c r="H13" s="106"/>
      <c r="I13" s="106"/>
      <c r="J13" s="106"/>
      <c r="K13" s="107"/>
      <c r="L13" s="103"/>
      <c r="M13" s="107"/>
      <c r="N13" s="107"/>
    </row>
    <row r="14" spans="1:14" s="12" customFormat="1" ht="15.75">
      <c r="A14" s="89" t="s">
        <v>118</v>
      </c>
      <c r="B14" s="103"/>
      <c r="C14" s="103"/>
      <c r="D14" s="103"/>
      <c r="E14" s="103"/>
      <c r="F14" s="106"/>
      <c r="G14" s="106"/>
      <c r="H14" s="106"/>
      <c r="I14" s="106"/>
      <c r="J14" s="106"/>
      <c r="K14" s="107"/>
      <c r="L14" s="103"/>
      <c r="M14" s="107"/>
      <c r="N14" s="107"/>
    </row>
    <row r="15" spans="1:14" s="12" customFormat="1" ht="15.75">
      <c r="A15" s="89" t="s">
        <v>119</v>
      </c>
      <c r="B15" s="103"/>
      <c r="C15" s="103"/>
      <c r="D15" s="103"/>
      <c r="E15" s="103"/>
      <c r="F15" s="106">
        <v>5480.8</v>
      </c>
      <c r="G15" s="106">
        <v>63.8</v>
      </c>
      <c r="H15" s="106">
        <v>5.8</v>
      </c>
      <c r="I15" s="106">
        <v>5490.5</v>
      </c>
      <c r="J15" s="106">
        <v>9.7</v>
      </c>
      <c r="K15" s="107">
        <v>58</v>
      </c>
      <c r="L15" s="103"/>
      <c r="M15" s="107">
        <v>58</v>
      </c>
      <c r="N15" s="107">
        <v>58</v>
      </c>
    </row>
    <row r="16" spans="1:14" s="12" customFormat="1" ht="15.75">
      <c r="A16" s="89" t="s">
        <v>120</v>
      </c>
      <c r="B16" s="103"/>
      <c r="C16" s="103"/>
      <c r="D16" s="103"/>
      <c r="E16" s="103"/>
      <c r="F16" s="106"/>
      <c r="G16" s="106"/>
      <c r="H16" s="106"/>
      <c r="I16" s="106"/>
      <c r="J16" s="106"/>
      <c r="K16" s="107"/>
      <c r="L16" s="103"/>
      <c r="M16" s="107"/>
      <c r="N16" s="107"/>
    </row>
    <row r="17" spans="1:14" s="12" customFormat="1" ht="18.75" customHeight="1">
      <c r="A17" s="108" t="s">
        <v>12</v>
      </c>
      <c r="B17" s="103"/>
      <c r="C17" s="103"/>
      <c r="D17" s="103"/>
      <c r="E17" s="103"/>
      <c r="F17" s="106">
        <v>5480.8</v>
      </c>
      <c r="G17" s="106">
        <v>8629.2</v>
      </c>
      <c r="H17" s="106">
        <v>9.7</v>
      </c>
      <c r="I17" s="106">
        <v>8629.2</v>
      </c>
      <c r="J17" s="106">
        <v>9.7</v>
      </c>
      <c r="K17" s="109">
        <f>SUM(K8:K16)</f>
        <v>5480.8</v>
      </c>
      <c r="L17" s="103"/>
      <c r="M17" s="109">
        <f>SUM(M8:M16)</f>
        <v>5480.8</v>
      </c>
      <c r="N17" s="109">
        <f>SUM(N8:N16)</f>
        <v>5480.8</v>
      </c>
    </row>
    <row r="18" spans="1:14" s="12" customFormat="1" ht="15.75">
      <c r="A18" s="94"/>
      <c r="F18" s="95"/>
      <c r="G18" s="96"/>
      <c r="H18" s="97"/>
      <c r="I18" s="96"/>
      <c r="J18" s="97"/>
      <c r="K18" s="98"/>
      <c r="M18" s="98"/>
      <c r="N18" s="98"/>
    </row>
    <row r="19" spans="11:14" ht="15.75">
      <c r="K19" s="102"/>
      <c r="M19" s="102"/>
      <c r="N19" s="102"/>
    </row>
  </sheetData>
  <sheetProtection/>
  <mergeCells count="5">
    <mergeCell ref="F6:N6"/>
    <mergeCell ref="A2:N2"/>
    <mergeCell ref="A1:N1"/>
    <mergeCell ref="A3:K3"/>
    <mergeCell ref="A6:A7"/>
  </mergeCells>
  <printOptions horizontalCentered="1"/>
  <pageMargins left="0.5511811023622047" right="0.2755905511811024" top="0.7480314960629921" bottom="0.2755905511811024" header="0.31496062992125984" footer="0.31496062992125984"/>
  <pageSetup fitToHeight="1" fitToWidth="1" horizontalDpi="600" verticalDpi="6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A70" sqref="A70"/>
    </sheetView>
  </sheetViews>
  <sheetFormatPr defaultColWidth="9.00390625" defaultRowHeight="12.75"/>
  <cols>
    <col min="1" max="1" width="50.00390625" style="28" customWidth="1"/>
    <col min="2" max="2" width="12.75390625" style="28" customWidth="1"/>
    <col min="3" max="3" width="11.625" style="28" customWidth="1"/>
    <col min="4" max="4" width="11.125" style="28" customWidth="1"/>
    <col min="5" max="6" width="11.625" style="28" bestFit="1" customWidth="1"/>
    <col min="7" max="7" width="11.00390625" style="28" bestFit="1" customWidth="1"/>
    <col min="8" max="8" width="11.125" style="28" customWidth="1"/>
    <col min="9" max="9" width="11.625" style="28" bestFit="1" customWidth="1"/>
    <col min="10" max="10" width="10.375" style="28" customWidth="1"/>
    <col min="11" max="11" width="10.75390625" style="28" customWidth="1"/>
    <col min="12" max="12" width="8.625" style="28" hidden="1" customWidth="1"/>
    <col min="13" max="16384" width="9.125" style="28" customWidth="1"/>
  </cols>
  <sheetData>
    <row r="1" spans="1:11" ht="15.75">
      <c r="A1" s="562" t="s">
        <v>107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2" ht="79.5" customHeight="1">
      <c r="A2" s="569" t="s">
        <v>502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409"/>
    </row>
    <row r="3" ht="15.75">
      <c r="K3" s="410" t="s">
        <v>411</v>
      </c>
    </row>
    <row r="4" spans="1:12" ht="63">
      <c r="A4" s="73" t="s">
        <v>3</v>
      </c>
      <c r="B4" s="73" t="s">
        <v>503</v>
      </c>
      <c r="C4" s="73" t="s">
        <v>539</v>
      </c>
      <c r="D4" s="73" t="s">
        <v>113</v>
      </c>
      <c r="E4" s="73" t="s">
        <v>119</v>
      </c>
      <c r="F4" s="73" t="s">
        <v>118</v>
      </c>
      <c r="G4" s="73" t="s">
        <v>112</v>
      </c>
      <c r="H4" s="73" t="s">
        <v>109</v>
      </c>
      <c r="I4" s="73" t="s">
        <v>117</v>
      </c>
      <c r="J4" s="73" t="s">
        <v>116</v>
      </c>
      <c r="K4" s="73" t="s">
        <v>120</v>
      </c>
      <c r="L4" s="73" t="s">
        <v>417</v>
      </c>
    </row>
    <row r="5" spans="1:12" s="330" customFormat="1" ht="16.5" customHeight="1">
      <c r="A5" s="411" t="s">
        <v>536</v>
      </c>
      <c r="B5" s="412">
        <f>SUM(C5:K5)</f>
        <v>17544</v>
      </c>
      <c r="C5" s="412">
        <v>7070</v>
      </c>
      <c r="D5" s="412">
        <v>1758</v>
      </c>
      <c r="E5" s="412">
        <v>1466</v>
      </c>
      <c r="F5" s="412">
        <v>1419</v>
      </c>
      <c r="G5" s="412">
        <v>984</v>
      </c>
      <c r="H5" s="412">
        <v>968</v>
      </c>
      <c r="I5" s="412">
        <v>1537</v>
      </c>
      <c r="J5" s="412">
        <v>169</v>
      </c>
      <c r="K5" s="412">
        <v>2173</v>
      </c>
      <c r="L5" s="411"/>
    </row>
    <row r="6" spans="1:12" s="330" customFormat="1" ht="17.25" customHeight="1">
      <c r="A6" s="413" t="s">
        <v>537</v>
      </c>
      <c r="B6" s="440">
        <f>SUM(C6:K6)</f>
        <v>10799.511912</v>
      </c>
      <c r="C6" s="414">
        <f aca="true" t="shared" si="0" ref="C6:K6">C20+C33+C47+C60</f>
        <v>2966.4976319999996</v>
      </c>
      <c r="D6" s="414">
        <f t="shared" si="0"/>
        <v>1044.401904</v>
      </c>
      <c r="E6" s="414">
        <f t="shared" si="0"/>
        <v>1044.401904</v>
      </c>
      <c r="F6" s="414">
        <f t="shared" si="0"/>
        <v>1044.401904</v>
      </c>
      <c r="G6" s="414">
        <f t="shared" si="0"/>
        <v>1044.401904</v>
      </c>
      <c r="H6" s="414">
        <f t="shared" si="0"/>
        <v>1044.401904</v>
      </c>
      <c r="I6" s="414">
        <f t="shared" si="0"/>
        <v>1044.401904</v>
      </c>
      <c r="J6" s="414">
        <f t="shared" si="0"/>
        <v>522.200952</v>
      </c>
      <c r="K6" s="414">
        <f t="shared" si="0"/>
        <v>1044.401904</v>
      </c>
      <c r="L6" s="413"/>
    </row>
    <row r="7" spans="1:12" s="330" customFormat="1" ht="17.25" customHeight="1">
      <c r="A7" s="413" t="s">
        <v>504</v>
      </c>
      <c r="B7" s="414">
        <f>SUM(C7:K7)</f>
        <v>10.5</v>
      </c>
      <c r="C7" s="414">
        <f>C9+C22</f>
        <v>3</v>
      </c>
      <c r="D7" s="414">
        <f>D9+D22</f>
        <v>1</v>
      </c>
      <c r="E7" s="414">
        <v>1</v>
      </c>
      <c r="F7" s="414">
        <v>1</v>
      </c>
      <c r="G7" s="414">
        <v>1</v>
      </c>
      <c r="H7" s="414">
        <v>1</v>
      </c>
      <c r="I7" s="414">
        <v>1</v>
      </c>
      <c r="J7" s="414">
        <f>J9+J22</f>
        <v>0.5</v>
      </c>
      <c r="K7" s="414">
        <f>K9+K22</f>
        <v>1</v>
      </c>
      <c r="L7" s="413"/>
    </row>
    <row r="8" spans="1:12" s="330" customFormat="1" ht="16.5" thickBot="1">
      <c r="A8" s="415" t="s">
        <v>505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3"/>
    </row>
    <row r="9" spans="1:12" s="420" customFormat="1" ht="31.5">
      <c r="A9" s="441" t="s">
        <v>506</v>
      </c>
      <c r="B9" s="417">
        <f>SUM(C9:K9)</f>
        <v>8.5</v>
      </c>
      <c r="C9" s="417">
        <v>1</v>
      </c>
      <c r="D9" s="417">
        <v>1</v>
      </c>
      <c r="E9" s="417">
        <v>1</v>
      </c>
      <c r="F9" s="417">
        <v>1</v>
      </c>
      <c r="G9" s="417">
        <v>1</v>
      </c>
      <c r="H9" s="417">
        <v>1</v>
      </c>
      <c r="I9" s="417">
        <v>1</v>
      </c>
      <c r="J9" s="417">
        <v>0.5</v>
      </c>
      <c r="K9" s="418">
        <v>1</v>
      </c>
      <c r="L9" s="419"/>
    </row>
    <row r="10" spans="1:12" s="330" customFormat="1" ht="15.75">
      <c r="A10" s="421" t="s">
        <v>538</v>
      </c>
      <c r="B10" s="414"/>
      <c r="C10" s="414">
        <f aca="true" t="shared" si="1" ref="C10:K10">5.806</f>
        <v>5.806</v>
      </c>
      <c r="D10" s="414">
        <f t="shared" si="1"/>
        <v>5.806</v>
      </c>
      <c r="E10" s="414">
        <f t="shared" si="1"/>
        <v>5.806</v>
      </c>
      <c r="F10" s="414">
        <f t="shared" si="1"/>
        <v>5.806</v>
      </c>
      <c r="G10" s="414">
        <f t="shared" si="1"/>
        <v>5.806</v>
      </c>
      <c r="H10" s="414">
        <f t="shared" si="1"/>
        <v>5.806</v>
      </c>
      <c r="I10" s="414">
        <f t="shared" si="1"/>
        <v>5.806</v>
      </c>
      <c r="J10" s="414">
        <f t="shared" si="1"/>
        <v>5.806</v>
      </c>
      <c r="K10" s="414">
        <f t="shared" si="1"/>
        <v>5.806</v>
      </c>
      <c r="L10" s="414"/>
    </row>
    <row r="11" spans="1:12" s="330" customFormat="1" ht="31.5">
      <c r="A11" s="421" t="s">
        <v>507</v>
      </c>
      <c r="B11" s="414"/>
      <c r="C11" s="422">
        <f aca="true" t="shared" si="2" ref="C11:K11">C10*0.6</f>
        <v>3.4836</v>
      </c>
      <c r="D11" s="422">
        <f t="shared" si="2"/>
        <v>3.4836</v>
      </c>
      <c r="E11" s="422">
        <f t="shared" si="2"/>
        <v>3.4836</v>
      </c>
      <c r="F11" s="422">
        <f t="shared" si="2"/>
        <v>3.4836</v>
      </c>
      <c r="G11" s="422">
        <f t="shared" si="2"/>
        <v>3.4836</v>
      </c>
      <c r="H11" s="422">
        <f t="shared" si="2"/>
        <v>3.4836</v>
      </c>
      <c r="I11" s="422">
        <f t="shared" si="2"/>
        <v>3.4836</v>
      </c>
      <c r="J11" s="422">
        <f t="shared" si="2"/>
        <v>3.4836</v>
      </c>
      <c r="K11" s="422">
        <f t="shared" si="2"/>
        <v>3.4836</v>
      </c>
      <c r="L11" s="423"/>
    </row>
    <row r="12" spans="1:12" s="330" customFormat="1" ht="15.75">
      <c r="A12" s="421" t="s">
        <v>508</v>
      </c>
      <c r="B12" s="414"/>
      <c r="C12" s="414">
        <f aca="true" t="shared" si="3" ref="C12:K12">C10*0.3</f>
        <v>1.7418</v>
      </c>
      <c r="D12" s="414">
        <f t="shared" si="3"/>
        <v>1.7418</v>
      </c>
      <c r="E12" s="414">
        <f t="shared" si="3"/>
        <v>1.7418</v>
      </c>
      <c r="F12" s="414">
        <f t="shared" si="3"/>
        <v>1.7418</v>
      </c>
      <c r="G12" s="414">
        <f t="shared" si="3"/>
        <v>1.7418</v>
      </c>
      <c r="H12" s="414">
        <f t="shared" si="3"/>
        <v>1.7418</v>
      </c>
      <c r="I12" s="414">
        <f t="shared" si="3"/>
        <v>1.7418</v>
      </c>
      <c r="J12" s="414">
        <f t="shared" si="3"/>
        <v>1.7418</v>
      </c>
      <c r="K12" s="414">
        <f t="shared" si="3"/>
        <v>1.7418</v>
      </c>
      <c r="L12" s="423"/>
    </row>
    <row r="13" spans="1:12" s="330" customFormat="1" ht="14.25" customHeight="1">
      <c r="A13" s="421" t="s">
        <v>509</v>
      </c>
      <c r="B13" s="414"/>
      <c r="C13" s="422">
        <v>1.192</v>
      </c>
      <c r="D13" s="422">
        <v>1.192</v>
      </c>
      <c r="E13" s="422">
        <v>1.192</v>
      </c>
      <c r="F13" s="422">
        <v>1.192</v>
      </c>
      <c r="G13" s="422">
        <v>1.192</v>
      </c>
      <c r="H13" s="422">
        <v>1.192</v>
      </c>
      <c r="I13" s="422">
        <v>1.192</v>
      </c>
      <c r="J13" s="422">
        <v>1.192</v>
      </c>
      <c r="K13" s="422">
        <v>1.192</v>
      </c>
      <c r="L13" s="424"/>
    </row>
    <row r="14" spans="1:12" s="330" customFormat="1" ht="15.75">
      <c r="A14" s="421" t="s">
        <v>510</v>
      </c>
      <c r="B14" s="414"/>
      <c r="C14" s="422">
        <f aca="true" t="shared" si="4" ref="C14:K14">C10*2</f>
        <v>11.612</v>
      </c>
      <c r="D14" s="422">
        <f t="shared" si="4"/>
        <v>11.612</v>
      </c>
      <c r="E14" s="422">
        <f t="shared" si="4"/>
        <v>11.612</v>
      </c>
      <c r="F14" s="422">
        <f t="shared" si="4"/>
        <v>11.612</v>
      </c>
      <c r="G14" s="422">
        <f t="shared" si="4"/>
        <v>11.612</v>
      </c>
      <c r="H14" s="422">
        <f t="shared" si="4"/>
        <v>11.612</v>
      </c>
      <c r="I14" s="422">
        <f t="shared" si="4"/>
        <v>11.612</v>
      </c>
      <c r="J14" s="422">
        <f t="shared" si="4"/>
        <v>11.612</v>
      </c>
      <c r="K14" s="422">
        <f t="shared" si="4"/>
        <v>11.612</v>
      </c>
      <c r="L14" s="423"/>
    </row>
    <row r="15" spans="1:12" s="330" customFormat="1" ht="15.75">
      <c r="A15" s="421" t="s">
        <v>511</v>
      </c>
      <c r="B15" s="414"/>
      <c r="C15" s="422">
        <f aca="true" t="shared" si="5" ref="C15:K15">C10*0.25</f>
        <v>1.4515</v>
      </c>
      <c r="D15" s="422">
        <f t="shared" si="5"/>
        <v>1.4515</v>
      </c>
      <c r="E15" s="422">
        <f t="shared" si="5"/>
        <v>1.4515</v>
      </c>
      <c r="F15" s="422">
        <f t="shared" si="5"/>
        <v>1.4515</v>
      </c>
      <c r="G15" s="422">
        <f t="shared" si="5"/>
        <v>1.4515</v>
      </c>
      <c r="H15" s="422">
        <f t="shared" si="5"/>
        <v>1.4515</v>
      </c>
      <c r="I15" s="422">
        <f t="shared" si="5"/>
        <v>1.4515</v>
      </c>
      <c r="J15" s="422">
        <f t="shared" si="5"/>
        <v>1.4515</v>
      </c>
      <c r="K15" s="422">
        <f t="shared" si="5"/>
        <v>1.4515</v>
      </c>
      <c r="L15" s="423"/>
    </row>
    <row r="16" spans="1:12" s="330" customFormat="1" ht="47.25">
      <c r="A16" s="421" t="s">
        <v>512</v>
      </c>
      <c r="B16" s="414"/>
      <c r="C16" s="422">
        <f aca="true" t="shared" si="6" ref="C16:K16">C10*0.25</f>
        <v>1.4515</v>
      </c>
      <c r="D16" s="422">
        <f t="shared" si="6"/>
        <v>1.4515</v>
      </c>
      <c r="E16" s="422">
        <f t="shared" si="6"/>
        <v>1.4515</v>
      </c>
      <c r="F16" s="422">
        <f t="shared" si="6"/>
        <v>1.4515</v>
      </c>
      <c r="G16" s="422">
        <f t="shared" si="6"/>
        <v>1.4515</v>
      </c>
      <c r="H16" s="422">
        <f t="shared" si="6"/>
        <v>1.4515</v>
      </c>
      <c r="I16" s="422">
        <f t="shared" si="6"/>
        <v>1.4515</v>
      </c>
      <c r="J16" s="422">
        <f t="shared" si="6"/>
        <v>1.4515</v>
      </c>
      <c r="K16" s="422">
        <f t="shared" si="6"/>
        <v>1.4515</v>
      </c>
      <c r="L16" s="423"/>
    </row>
    <row r="17" spans="1:12" s="330" customFormat="1" ht="15.75">
      <c r="A17" s="421" t="s">
        <v>513</v>
      </c>
      <c r="B17" s="414"/>
      <c r="C17" s="422">
        <f aca="true" t="shared" si="7" ref="C17:K17">(C10+C11+C12+C13+C14+C15+C16)*0.7</f>
        <v>18.716879999999996</v>
      </c>
      <c r="D17" s="422">
        <f t="shared" si="7"/>
        <v>18.716879999999996</v>
      </c>
      <c r="E17" s="422">
        <f t="shared" si="7"/>
        <v>18.716879999999996</v>
      </c>
      <c r="F17" s="422">
        <f t="shared" si="7"/>
        <v>18.716879999999996</v>
      </c>
      <c r="G17" s="422">
        <f t="shared" si="7"/>
        <v>18.716879999999996</v>
      </c>
      <c r="H17" s="422">
        <f t="shared" si="7"/>
        <v>18.716879999999996</v>
      </c>
      <c r="I17" s="422">
        <f t="shared" si="7"/>
        <v>18.716879999999996</v>
      </c>
      <c r="J17" s="422">
        <f t="shared" si="7"/>
        <v>18.716879999999996</v>
      </c>
      <c r="K17" s="422">
        <f t="shared" si="7"/>
        <v>18.716879999999996</v>
      </c>
      <c r="L17" s="423"/>
    </row>
    <row r="18" spans="1:12" s="330" customFormat="1" ht="15.75">
      <c r="A18" s="421" t="s">
        <v>514</v>
      </c>
      <c r="B18" s="414"/>
      <c r="C18" s="422">
        <f aca="true" t="shared" si="8" ref="C18:K18">(C10+C11+C12+C13+C14+C15+C16)*0.8</f>
        <v>21.39072</v>
      </c>
      <c r="D18" s="422">
        <f t="shared" si="8"/>
        <v>21.39072</v>
      </c>
      <c r="E18" s="422">
        <f t="shared" si="8"/>
        <v>21.39072</v>
      </c>
      <c r="F18" s="422">
        <f t="shared" si="8"/>
        <v>21.39072</v>
      </c>
      <c r="G18" s="422">
        <f t="shared" si="8"/>
        <v>21.39072</v>
      </c>
      <c r="H18" s="422">
        <f t="shared" si="8"/>
        <v>21.39072</v>
      </c>
      <c r="I18" s="422">
        <f t="shared" si="8"/>
        <v>21.39072</v>
      </c>
      <c r="J18" s="422">
        <f t="shared" si="8"/>
        <v>21.39072</v>
      </c>
      <c r="K18" s="422">
        <f t="shared" si="8"/>
        <v>21.39072</v>
      </c>
      <c r="L18" s="424"/>
    </row>
    <row r="19" spans="1:12" s="330" customFormat="1" ht="16.5" thickBot="1">
      <c r="A19" s="425" t="s">
        <v>515</v>
      </c>
      <c r="B19" s="416"/>
      <c r="C19" s="416">
        <f aca="true" t="shared" si="9" ref="C19:K19">(SUM(C10:C18)*C9*12)*0.302</f>
        <v>242.24990400000002</v>
      </c>
      <c r="D19" s="416">
        <f t="shared" si="9"/>
        <v>242.24990400000002</v>
      </c>
      <c r="E19" s="416">
        <f t="shared" si="9"/>
        <v>242.24990400000002</v>
      </c>
      <c r="F19" s="416">
        <f t="shared" si="9"/>
        <v>242.24990400000002</v>
      </c>
      <c r="G19" s="416">
        <f t="shared" si="9"/>
        <v>242.24990400000002</v>
      </c>
      <c r="H19" s="416">
        <f t="shared" si="9"/>
        <v>242.24990400000002</v>
      </c>
      <c r="I19" s="416">
        <f t="shared" si="9"/>
        <v>242.24990400000002</v>
      </c>
      <c r="J19" s="416">
        <f t="shared" si="9"/>
        <v>121.12495200000001</v>
      </c>
      <c r="K19" s="416">
        <f t="shared" si="9"/>
        <v>242.24990400000002</v>
      </c>
      <c r="L19" s="424"/>
    </row>
    <row r="20" spans="1:12" s="330" customFormat="1" ht="16.5" thickBot="1">
      <c r="A20" s="442" t="s">
        <v>516</v>
      </c>
      <c r="B20" s="443">
        <f>SUM(C20:K20)</f>
        <v>8877.416184000002</v>
      </c>
      <c r="C20" s="443">
        <f aca="true" t="shared" si="10" ref="C20:K20">(SUM(C10:C18)*C9*12)+C19</f>
        <v>1044.401904</v>
      </c>
      <c r="D20" s="443">
        <f t="shared" si="10"/>
        <v>1044.401904</v>
      </c>
      <c r="E20" s="443">
        <f t="shared" si="10"/>
        <v>1044.401904</v>
      </c>
      <c r="F20" s="443">
        <f t="shared" si="10"/>
        <v>1044.401904</v>
      </c>
      <c r="G20" s="443">
        <f t="shared" si="10"/>
        <v>1044.401904</v>
      </c>
      <c r="H20" s="443">
        <f t="shared" si="10"/>
        <v>1044.401904</v>
      </c>
      <c r="I20" s="443">
        <f t="shared" si="10"/>
        <v>1044.401904</v>
      </c>
      <c r="J20" s="443">
        <f t="shared" si="10"/>
        <v>522.200952</v>
      </c>
      <c r="K20" s="443">
        <f t="shared" si="10"/>
        <v>1044.401904</v>
      </c>
      <c r="L20" s="423"/>
    </row>
    <row r="21" spans="1:12" s="330" customFormat="1" ht="16.5" customHeight="1" thickBot="1">
      <c r="A21" s="426"/>
      <c r="B21" s="444"/>
      <c r="C21" s="427"/>
      <c r="D21" s="427"/>
      <c r="E21" s="427"/>
      <c r="F21" s="427"/>
      <c r="G21" s="427"/>
      <c r="H21" s="427"/>
      <c r="I21" s="427"/>
      <c r="J21" s="427"/>
      <c r="K21" s="427"/>
      <c r="L21" s="413"/>
    </row>
    <row r="22" spans="1:12" s="420" customFormat="1" ht="31.5">
      <c r="A22" s="445" t="s">
        <v>517</v>
      </c>
      <c r="B22" s="417">
        <f>SUM(C22:K22)</f>
        <v>2</v>
      </c>
      <c r="C22" s="417">
        <v>2</v>
      </c>
      <c r="D22" s="417">
        <v>0</v>
      </c>
      <c r="E22" s="417">
        <v>0</v>
      </c>
      <c r="F22" s="417">
        <v>0</v>
      </c>
      <c r="G22" s="417">
        <v>0</v>
      </c>
      <c r="H22" s="417">
        <v>0</v>
      </c>
      <c r="I22" s="417">
        <v>0</v>
      </c>
      <c r="J22" s="417">
        <v>0</v>
      </c>
      <c r="K22" s="418">
        <v>0</v>
      </c>
      <c r="L22" s="419"/>
    </row>
    <row r="23" spans="1:12" s="330" customFormat="1" ht="15.75">
      <c r="A23" s="421" t="s">
        <v>518</v>
      </c>
      <c r="B23" s="414"/>
      <c r="C23" s="414">
        <f>5.321</f>
        <v>5.321</v>
      </c>
      <c r="D23" s="414"/>
      <c r="E23" s="414"/>
      <c r="F23" s="414"/>
      <c r="G23" s="414"/>
      <c r="H23" s="414"/>
      <c r="I23" s="414"/>
      <c r="J23" s="414"/>
      <c r="K23" s="414"/>
      <c r="L23" s="423"/>
    </row>
    <row r="24" spans="1:12" s="330" customFormat="1" ht="31.5">
      <c r="A24" s="421" t="s">
        <v>519</v>
      </c>
      <c r="B24" s="414"/>
      <c r="C24" s="422">
        <f>C23*0.6</f>
        <v>3.1925999999999997</v>
      </c>
      <c r="D24" s="422"/>
      <c r="E24" s="422"/>
      <c r="F24" s="422"/>
      <c r="G24" s="422"/>
      <c r="H24" s="422"/>
      <c r="I24" s="422"/>
      <c r="J24" s="422"/>
      <c r="K24" s="428"/>
      <c r="L24" s="423"/>
    </row>
    <row r="25" spans="1:12" s="330" customFormat="1" ht="15.75">
      <c r="A25" s="421" t="s">
        <v>508</v>
      </c>
      <c r="B25" s="414"/>
      <c r="C25" s="414">
        <f>C23*0.3</f>
        <v>1.5962999999999998</v>
      </c>
      <c r="D25" s="414"/>
      <c r="E25" s="414"/>
      <c r="F25" s="414"/>
      <c r="G25" s="414"/>
      <c r="H25" s="414"/>
      <c r="I25" s="414"/>
      <c r="J25" s="414"/>
      <c r="K25" s="429"/>
      <c r="L25" s="423"/>
    </row>
    <row r="26" spans="1:12" s="330" customFormat="1" ht="14.25" customHeight="1">
      <c r="A26" s="421" t="s">
        <v>509</v>
      </c>
      <c r="B26" s="414"/>
      <c r="C26" s="422">
        <v>1.192</v>
      </c>
      <c r="D26" s="422"/>
      <c r="E26" s="422"/>
      <c r="F26" s="422"/>
      <c r="G26" s="422"/>
      <c r="H26" s="422"/>
      <c r="I26" s="422"/>
      <c r="J26" s="422"/>
      <c r="K26" s="428"/>
      <c r="L26" s="424"/>
    </row>
    <row r="27" spans="1:12" s="330" customFormat="1" ht="15.75">
      <c r="A27" s="421" t="s">
        <v>520</v>
      </c>
      <c r="B27" s="414"/>
      <c r="C27" s="422">
        <f>C23*2</f>
        <v>10.642</v>
      </c>
      <c r="D27" s="422"/>
      <c r="E27" s="422"/>
      <c r="F27" s="422"/>
      <c r="G27" s="422"/>
      <c r="H27" s="422"/>
      <c r="I27" s="422"/>
      <c r="J27" s="422"/>
      <c r="K27" s="422"/>
      <c r="L27" s="423"/>
    </row>
    <row r="28" spans="1:12" s="330" customFormat="1" ht="15.75">
      <c r="A28" s="421" t="s">
        <v>511</v>
      </c>
      <c r="B28" s="414"/>
      <c r="C28" s="422">
        <f>C23*0.25</f>
        <v>1.33025</v>
      </c>
      <c r="D28" s="422"/>
      <c r="E28" s="422"/>
      <c r="F28" s="422"/>
      <c r="G28" s="422"/>
      <c r="H28" s="422"/>
      <c r="I28" s="422"/>
      <c r="J28" s="422"/>
      <c r="K28" s="428"/>
      <c r="L28" s="423"/>
    </row>
    <row r="29" spans="1:12" s="330" customFormat="1" ht="47.25">
      <c r="A29" s="421" t="s">
        <v>521</v>
      </c>
      <c r="B29" s="414"/>
      <c r="C29" s="422">
        <f>C23*0.25</f>
        <v>1.33025</v>
      </c>
      <c r="D29" s="422"/>
      <c r="E29" s="422"/>
      <c r="F29" s="422"/>
      <c r="G29" s="422"/>
      <c r="H29" s="422"/>
      <c r="I29" s="422"/>
      <c r="J29" s="422"/>
      <c r="K29" s="428"/>
      <c r="L29" s="423"/>
    </row>
    <row r="30" spans="1:12" s="330" customFormat="1" ht="15.75">
      <c r="A30" s="421" t="s">
        <v>513</v>
      </c>
      <c r="B30" s="414"/>
      <c r="C30" s="422">
        <f>(C23+C24+C25+C26+C27+C28+C29)*0.7</f>
        <v>17.223079999999996</v>
      </c>
      <c r="D30" s="422"/>
      <c r="E30" s="422"/>
      <c r="F30" s="422"/>
      <c r="G30" s="422"/>
      <c r="H30" s="422"/>
      <c r="I30" s="422"/>
      <c r="J30" s="422"/>
      <c r="K30" s="428"/>
      <c r="L30" s="423"/>
    </row>
    <row r="31" spans="1:12" s="330" customFormat="1" ht="15.75">
      <c r="A31" s="421" t="s">
        <v>514</v>
      </c>
      <c r="B31" s="414"/>
      <c r="C31" s="422">
        <f>(C23+C24+C25+C26+C27+C28+C29)*0.8</f>
        <v>19.68352</v>
      </c>
      <c r="D31" s="422"/>
      <c r="E31" s="422"/>
      <c r="F31" s="422"/>
      <c r="G31" s="422"/>
      <c r="H31" s="422"/>
      <c r="I31" s="422"/>
      <c r="J31" s="422"/>
      <c r="K31" s="428"/>
      <c r="L31" s="423"/>
    </row>
    <row r="32" spans="1:12" s="330" customFormat="1" ht="16.5" thickBot="1">
      <c r="A32" s="425" t="s">
        <v>515</v>
      </c>
      <c r="B32" s="416"/>
      <c r="C32" s="416">
        <f>(SUM(C23:C31)*C22*12)*0.302</f>
        <v>445.83172799999994</v>
      </c>
      <c r="D32" s="416"/>
      <c r="E32" s="416"/>
      <c r="F32" s="416"/>
      <c r="G32" s="416"/>
      <c r="H32" s="416"/>
      <c r="I32" s="416"/>
      <c r="J32" s="416"/>
      <c r="K32" s="430"/>
      <c r="L32" s="431"/>
    </row>
    <row r="33" spans="1:12" s="330" customFormat="1" ht="32.25" thickBot="1">
      <c r="A33" s="442" t="s">
        <v>522</v>
      </c>
      <c r="B33" s="443">
        <f>SUM(C33:K33)</f>
        <v>1922.0957279999998</v>
      </c>
      <c r="C33" s="443">
        <f>(SUM(C23:C31)*C22*12)+C32</f>
        <v>1922.0957279999998</v>
      </c>
      <c r="D33" s="443"/>
      <c r="E33" s="443"/>
      <c r="F33" s="443"/>
      <c r="G33" s="443"/>
      <c r="H33" s="443"/>
      <c r="I33" s="443"/>
      <c r="J33" s="443"/>
      <c r="K33" s="446"/>
      <c r="L33" s="447"/>
    </row>
    <row r="34" spans="1:12" s="330" customFormat="1" ht="21.75" customHeight="1" hidden="1">
      <c r="A34" s="448"/>
      <c r="B34" s="444"/>
      <c r="C34" s="444"/>
      <c r="D34" s="444"/>
      <c r="E34" s="444"/>
      <c r="F34" s="444"/>
      <c r="G34" s="444"/>
      <c r="H34" s="444"/>
      <c r="I34" s="444"/>
      <c r="J34" s="444"/>
      <c r="K34" s="449"/>
      <c r="L34" s="450"/>
    </row>
    <row r="35" spans="1:12" s="330" customFormat="1" ht="15.75" hidden="1">
      <c r="A35" s="448"/>
      <c r="B35" s="444"/>
      <c r="C35" s="444"/>
      <c r="D35" s="444"/>
      <c r="E35" s="444"/>
      <c r="F35" s="444"/>
      <c r="G35" s="444"/>
      <c r="H35" s="444"/>
      <c r="I35" s="444"/>
      <c r="J35" s="444"/>
      <c r="K35" s="449"/>
      <c r="L35" s="450"/>
    </row>
    <row r="36" spans="1:12" s="420" customFormat="1" ht="15.75" hidden="1">
      <c r="A36" s="441"/>
      <c r="B36" s="417"/>
      <c r="C36" s="417"/>
      <c r="D36" s="417"/>
      <c r="E36" s="417"/>
      <c r="F36" s="417"/>
      <c r="G36" s="417"/>
      <c r="H36" s="417"/>
      <c r="I36" s="417"/>
      <c r="J36" s="417"/>
      <c r="K36" s="418"/>
      <c r="L36" s="419"/>
    </row>
    <row r="37" spans="1:12" s="330" customFormat="1" ht="15.75" hidden="1">
      <c r="A37" s="421"/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23"/>
    </row>
    <row r="38" spans="1:12" s="330" customFormat="1" ht="15.75" hidden="1">
      <c r="A38" s="421"/>
      <c r="B38" s="414"/>
      <c r="C38" s="422"/>
      <c r="D38" s="422"/>
      <c r="E38" s="422"/>
      <c r="F38" s="422"/>
      <c r="G38" s="422"/>
      <c r="H38" s="422"/>
      <c r="I38" s="422"/>
      <c r="J38" s="422"/>
      <c r="K38" s="422"/>
      <c r="L38" s="423"/>
    </row>
    <row r="39" spans="1:12" s="330" customFormat="1" ht="15.75" hidden="1">
      <c r="A39" s="421"/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23"/>
    </row>
    <row r="40" spans="1:12" s="330" customFormat="1" ht="14.25" customHeight="1" hidden="1">
      <c r="A40" s="421"/>
      <c r="B40" s="414"/>
      <c r="C40" s="422"/>
      <c r="D40" s="422"/>
      <c r="E40" s="422"/>
      <c r="F40" s="422"/>
      <c r="G40" s="422"/>
      <c r="H40" s="422"/>
      <c r="I40" s="422"/>
      <c r="J40" s="422"/>
      <c r="K40" s="422"/>
      <c r="L40" s="424"/>
    </row>
    <row r="41" spans="1:12" s="330" customFormat="1" ht="15.75" hidden="1">
      <c r="A41" s="421"/>
      <c r="B41" s="414"/>
      <c r="C41" s="422"/>
      <c r="D41" s="422"/>
      <c r="E41" s="422"/>
      <c r="F41" s="422"/>
      <c r="G41" s="422"/>
      <c r="H41" s="422"/>
      <c r="I41" s="422"/>
      <c r="J41" s="422"/>
      <c r="K41" s="422"/>
      <c r="L41" s="423"/>
    </row>
    <row r="42" spans="1:12" s="330" customFormat="1" ht="15.75" hidden="1">
      <c r="A42" s="421"/>
      <c r="B42" s="414"/>
      <c r="C42" s="422"/>
      <c r="D42" s="422"/>
      <c r="E42" s="422"/>
      <c r="F42" s="422"/>
      <c r="G42" s="422"/>
      <c r="H42" s="422"/>
      <c r="I42" s="422"/>
      <c r="J42" s="422"/>
      <c r="K42" s="422"/>
      <c r="L42" s="423"/>
    </row>
    <row r="43" spans="1:12" s="330" customFormat="1" ht="15.75" hidden="1">
      <c r="A43" s="421"/>
      <c r="B43" s="414"/>
      <c r="C43" s="422"/>
      <c r="D43" s="422"/>
      <c r="E43" s="422"/>
      <c r="F43" s="422"/>
      <c r="G43" s="422"/>
      <c r="H43" s="422"/>
      <c r="I43" s="422"/>
      <c r="J43" s="422"/>
      <c r="K43" s="422"/>
      <c r="L43" s="423"/>
    </row>
    <row r="44" spans="1:12" s="330" customFormat="1" ht="15.75" hidden="1">
      <c r="A44" s="421"/>
      <c r="B44" s="414"/>
      <c r="C44" s="422"/>
      <c r="D44" s="422"/>
      <c r="E44" s="422"/>
      <c r="F44" s="422"/>
      <c r="G44" s="422"/>
      <c r="H44" s="422"/>
      <c r="I44" s="422"/>
      <c r="J44" s="422"/>
      <c r="K44" s="422"/>
      <c r="L44" s="423"/>
    </row>
    <row r="45" spans="1:12" s="330" customFormat="1" ht="15.75" hidden="1">
      <c r="A45" s="421"/>
      <c r="B45" s="414"/>
      <c r="C45" s="422"/>
      <c r="D45" s="422"/>
      <c r="E45" s="422"/>
      <c r="F45" s="422"/>
      <c r="G45" s="422"/>
      <c r="H45" s="422"/>
      <c r="I45" s="422"/>
      <c r="J45" s="422"/>
      <c r="K45" s="422"/>
      <c r="L45" s="424"/>
    </row>
    <row r="46" spans="1:12" s="330" customFormat="1" ht="15.75" hidden="1">
      <c r="A46" s="425"/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24"/>
    </row>
    <row r="47" spans="1:12" s="330" customFormat="1" ht="16.5" hidden="1" thickBot="1">
      <c r="A47" s="442"/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23"/>
    </row>
    <row r="48" spans="1:12" s="330" customFormat="1" ht="15.75" hidden="1">
      <c r="A48" s="426"/>
      <c r="B48" s="444"/>
      <c r="C48" s="427"/>
      <c r="D48" s="427"/>
      <c r="E48" s="427"/>
      <c r="F48" s="427"/>
      <c r="G48" s="427"/>
      <c r="H48" s="427"/>
      <c r="I48" s="427"/>
      <c r="J48" s="427"/>
      <c r="K48" s="427"/>
      <c r="L48" s="413"/>
    </row>
    <row r="49" spans="1:12" s="420" customFormat="1" ht="15.75" hidden="1">
      <c r="A49" s="445"/>
      <c r="B49" s="417"/>
      <c r="C49" s="417"/>
      <c r="D49" s="417"/>
      <c r="E49" s="417"/>
      <c r="F49" s="417"/>
      <c r="G49" s="417"/>
      <c r="H49" s="417"/>
      <c r="I49" s="417"/>
      <c r="J49" s="417"/>
      <c r="K49" s="418"/>
      <c r="L49" s="419"/>
    </row>
    <row r="50" spans="1:12" s="330" customFormat="1" ht="15.75" hidden="1">
      <c r="A50" s="421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23"/>
    </row>
    <row r="51" spans="1:12" s="330" customFormat="1" ht="15.75" hidden="1">
      <c r="A51" s="421"/>
      <c r="B51" s="414"/>
      <c r="C51" s="422"/>
      <c r="D51" s="422"/>
      <c r="E51" s="422"/>
      <c r="F51" s="422"/>
      <c r="G51" s="422"/>
      <c r="H51" s="422"/>
      <c r="I51" s="422"/>
      <c r="J51" s="422"/>
      <c r="K51" s="428"/>
      <c r="L51" s="423"/>
    </row>
    <row r="52" spans="1:12" s="330" customFormat="1" ht="15.75" hidden="1">
      <c r="A52" s="421"/>
      <c r="B52" s="414"/>
      <c r="C52" s="414"/>
      <c r="D52" s="414"/>
      <c r="E52" s="414"/>
      <c r="F52" s="414"/>
      <c r="G52" s="414"/>
      <c r="H52" s="414"/>
      <c r="I52" s="414"/>
      <c r="J52" s="414"/>
      <c r="K52" s="429"/>
      <c r="L52" s="423"/>
    </row>
    <row r="53" spans="1:12" s="330" customFormat="1" ht="14.25" customHeight="1" hidden="1">
      <c r="A53" s="421"/>
      <c r="B53" s="414"/>
      <c r="C53" s="422"/>
      <c r="D53" s="422"/>
      <c r="E53" s="422"/>
      <c r="F53" s="422"/>
      <c r="G53" s="422"/>
      <c r="H53" s="422"/>
      <c r="I53" s="422"/>
      <c r="J53" s="422"/>
      <c r="K53" s="428"/>
      <c r="L53" s="424"/>
    </row>
    <row r="54" spans="1:12" s="330" customFormat="1" ht="15.75" hidden="1">
      <c r="A54" s="421"/>
      <c r="B54" s="414"/>
      <c r="C54" s="422"/>
      <c r="D54" s="422"/>
      <c r="E54" s="422"/>
      <c r="F54" s="422"/>
      <c r="G54" s="422"/>
      <c r="H54" s="422"/>
      <c r="I54" s="422"/>
      <c r="J54" s="422"/>
      <c r="K54" s="422"/>
      <c r="L54" s="423"/>
    </row>
    <row r="55" spans="1:12" s="330" customFormat="1" ht="15.75" hidden="1">
      <c r="A55" s="421"/>
      <c r="B55" s="414"/>
      <c r="C55" s="422"/>
      <c r="D55" s="422"/>
      <c r="E55" s="422"/>
      <c r="F55" s="422"/>
      <c r="G55" s="422"/>
      <c r="H55" s="422"/>
      <c r="I55" s="422"/>
      <c r="J55" s="422"/>
      <c r="K55" s="428"/>
      <c r="L55" s="423"/>
    </row>
    <row r="56" spans="1:12" s="330" customFormat="1" ht="15.75" hidden="1">
      <c r="A56" s="421"/>
      <c r="B56" s="414"/>
      <c r="C56" s="422"/>
      <c r="D56" s="422"/>
      <c r="E56" s="422"/>
      <c r="F56" s="422"/>
      <c r="G56" s="422"/>
      <c r="H56" s="422"/>
      <c r="I56" s="422"/>
      <c r="J56" s="422"/>
      <c r="K56" s="428"/>
      <c r="L56" s="423"/>
    </row>
    <row r="57" spans="1:12" s="330" customFormat="1" ht="15.75" hidden="1">
      <c r="A57" s="421"/>
      <c r="B57" s="414"/>
      <c r="C57" s="422"/>
      <c r="D57" s="422"/>
      <c r="E57" s="422"/>
      <c r="F57" s="422"/>
      <c r="G57" s="422"/>
      <c r="H57" s="422"/>
      <c r="I57" s="422"/>
      <c r="J57" s="422"/>
      <c r="K57" s="428"/>
      <c r="L57" s="423"/>
    </row>
    <row r="58" spans="1:12" s="330" customFormat="1" ht="15.75" hidden="1">
      <c r="A58" s="421"/>
      <c r="B58" s="414"/>
      <c r="C58" s="422"/>
      <c r="D58" s="422"/>
      <c r="E58" s="422"/>
      <c r="F58" s="422"/>
      <c r="G58" s="422"/>
      <c r="H58" s="422"/>
      <c r="I58" s="422"/>
      <c r="J58" s="422"/>
      <c r="K58" s="428"/>
      <c r="L58" s="423"/>
    </row>
    <row r="59" spans="1:12" s="330" customFormat="1" ht="15.75" hidden="1">
      <c r="A59" s="425"/>
      <c r="B59" s="416"/>
      <c r="C59" s="416"/>
      <c r="D59" s="416"/>
      <c r="E59" s="416"/>
      <c r="F59" s="416"/>
      <c r="G59" s="416"/>
      <c r="H59" s="416"/>
      <c r="I59" s="416"/>
      <c r="J59" s="416"/>
      <c r="K59" s="430"/>
      <c r="L59" s="431"/>
    </row>
    <row r="60" spans="1:12" s="330" customFormat="1" ht="16.5" hidden="1" thickBot="1">
      <c r="A60" s="442"/>
      <c r="B60" s="443"/>
      <c r="C60" s="443"/>
      <c r="D60" s="443"/>
      <c r="E60" s="443"/>
      <c r="F60" s="443"/>
      <c r="G60" s="443"/>
      <c r="H60" s="443"/>
      <c r="I60" s="443"/>
      <c r="J60" s="443"/>
      <c r="K60" s="446"/>
      <c r="L60" s="447"/>
    </row>
    <row r="61" ht="15.75" hidden="1">
      <c r="A61" s="448"/>
    </row>
    <row r="62" spans="1:12" s="330" customFormat="1" ht="15.75">
      <c r="A62" s="413" t="s">
        <v>523</v>
      </c>
      <c r="B62" s="414">
        <v>73.8</v>
      </c>
      <c r="C62" s="414">
        <f aca="true" t="shared" si="11" ref="C62:K62">(21*(C5/5))/1000</f>
        <v>29.694</v>
      </c>
      <c r="D62" s="414">
        <f t="shared" si="11"/>
        <v>7.3836</v>
      </c>
      <c r="E62" s="414">
        <f t="shared" si="11"/>
        <v>6.1572</v>
      </c>
      <c r="F62" s="414">
        <f t="shared" si="11"/>
        <v>5.9598</v>
      </c>
      <c r="G62" s="414">
        <f t="shared" si="11"/>
        <v>4.1328000000000005</v>
      </c>
      <c r="H62" s="414">
        <f t="shared" si="11"/>
        <v>4.0656</v>
      </c>
      <c r="I62" s="414">
        <f t="shared" si="11"/>
        <v>6.4554</v>
      </c>
      <c r="J62" s="414">
        <f t="shared" si="11"/>
        <v>0.7098</v>
      </c>
      <c r="K62" s="414">
        <f t="shared" si="11"/>
        <v>9.1266</v>
      </c>
      <c r="L62" s="432"/>
    </row>
    <row r="63" spans="1:12" s="330" customFormat="1" ht="19.5" customHeight="1">
      <c r="A63" s="413" t="s">
        <v>524</v>
      </c>
      <c r="B63" s="414">
        <f>SUM(C63:K63)</f>
        <v>133.79999999999998</v>
      </c>
      <c r="C63" s="414">
        <f>(750*12)/1000</f>
        <v>9</v>
      </c>
      <c r="D63" s="414">
        <f aca="true" t="shared" si="12" ref="D63:K63">(1300*12)/1000</f>
        <v>15.6</v>
      </c>
      <c r="E63" s="414">
        <f t="shared" si="12"/>
        <v>15.6</v>
      </c>
      <c r="F63" s="414">
        <f t="shared" si="12"/>
        <v>15.6</v>
      </c>
      <c r="G63" s="414">
        <f t="shared" si="12"/>
        <v>15.6</v>
      </c>
      <c r="H63" s="414">
        <f t="shared" si="12"/>
        <v>15.6</v>
      </c>
      <c r="I63" s="414">
        <f t="shared" si="12"/>
        <v>15.6</v>
      </c>
      <c r="J63" s="414">
        <f t="shared" si="12"/>
        <v>15.6</v>
      </c>
      <c r="K63" s="414">
        <f t="shared" si="12"/>
        <v>15.6</v>
      </c>
      <c r="L63" s="413"/>
    </row>
    <row r="64" spans="1:12" s="330" customFormat="1" ht="15.75">
      <c r="A64" s="413" t="s">
        <v>525</v>
      </c>
      <c r="B64" s="414">
        <f>SUM(C64:K64)</f>
        <v>81</v>
      </c>
      <c r="C64" s="414">
        <f aca="true" t="shared" si="13" ref="C64:K64">0.75*12</f>
        <v>9</v>
      </c>
      <c r="D64" s="414">
        <f t="shared" si="13"/>
        <v>9</v>
      </c>
      <c r="E64" s="414">
        <f t="shared" si="13"/>
        <v>9</v>
      </c>
      <c r="F64" s="414">
        <f t="shared" si="13"/>
        <v>9</v>
      </c>
      <c r="G64" s="414">
        <f t="shared" si="13"/>
        <v>9</v>
      </c>
      <c r="H64" s="414">
        <f t="shared" si="13"/>
        <v>9</v>
      </c>
      <c r="I64" s="414">
        <f t="shared" si="13"/>
        <v>9</v>
      </c>
      <c r="J64" s="414">
        <f t="shared" si="13"/>
        <v>9</v>
      </c>
      <c r="K64" s="414">
        <f t="shared" si="13"/>
        <v>9</v>
      </c>
      <c r="L64" s="432"/>
    </row>
    <row r="65" spans="1:12" s="434" customFormat="1" ht="31.5">
      <c r="A65" s="413" t="s">
        <v>526</v>
      </c>
      <c r="B65" s="451">
        <f>SUM(C65:K65)</f>
        <v>938.675</v>
      </c>
      <c r="C65" s="433">
        <f>10+(0.075*C66)</f>
        <v>307.075</v>
      </c>
      <c r="D65" s="433">
        <f aca="true" t="shared" si="14" ref="D65:K65">10+(0.1*D66)</f>
        <v>98.30000000000001</v>
      </c>
      <c r="E65" s="433">
        <f t="shared" si="14"/>
        <v>92.9</v>
      </c>
      <c r="F65" s="433">
        <f t="shared" si="14"/>
        <v>81</v>
      </c>
      <c r="G65" s="433">
        <f t="shared" si="14"/>
        <v>56.5</v>
      </c>
      <c r="H65" s="433">
        <f t="shared" si="14"/>
        <v>61.300000000000004</v>
      </c>
      <c r="I65" s="433">
        <f t="shared" si="14"/>
        <v>99</v>
      </c>
      <c r="J65" s="433">
        <f t="shared" si="14"/>
        <v>20</v>
      </c>
      <c r="K65" s="433">
        <f t="shared" si="14"/>
        <v>122.60000000000001</v>
      </c>
      <c r="L65" s="73"/>
    </row>
    <row r="66" spans="1:12" s="434" customFormat="1" ht="11.25" customHeight="1" hidden="1">
      <c r="A66" s="413" t="s">
        <v>527</v>
      </c>
      <c r="B66" s="451"/>
      <c r="C66" s="433">
        <v>3961</v>
      </c>
      <c r="D66" s="433">
        <v>883</v>
      </c>
      <c r="E66" s="433">
        <v>829</v>
      </c>
      <c r="F66" s="433">
        <v>710</v>
      </c>
      <c r="G66" s="433">
        <v>465</v>
      </c>
      <c r="H66" s="433">
        <v>513</v>
      </c>
      <c r="I66" s="433">
        <v>890</v>
      </c>
      <c r="J66" s="433">
        <v>100</v>
      </c>
      <c r="K66" s="433">
        <v>1126</v>
      </c>
      <c r="L66" s="73"/>
    </row>
    <row r="67" spans="1:12" s="330" customFormat="1" ht="12.75" customHeight="1">
      <c r="A67" s="413" t="s">
        <v>528</v>
      </c>
      <c r="B67" s="414">
        <f>SUM(C67:K67)</f>
        <v>594.8</v>
      </c>
      <c r="C67" s="414">
        <v>0</v>
      </c>
      <c r="D67" s="414">
        <f aca="true" t="shared" si="15" ref="D67:K67">(((500*10)+(2500*10)+(D68*2))*2)/1000</f>
        <v>60.8</v>
      </c>
      <c r="E67" s="414">
        <f t="shared" si="15"/>
        <v>63</v>
      </c>
      <c r="F67" s="414">
        <f t="shared" si="15"/>
        <v>63</v>
      </c>
      <c r="G67" s="414">
        <f t="shared" si="15"/>
        <v>72</v>
      </c>
      <c r="H67" s="414">
        <f t="shared" si="15"/>
        <v>72</v>
      </c>
      <c r="I67" s="414">
        <f t="shared" si="15"/>
        <v>72</v>
      </c>
      <c r="J67" s="414">
        <f t="shared" si="15"/>
        <v>120</v>
      </c>
      <c r="K67" s="414">
        <f t="shared" si="15"/>
        <v>72</v>
      </c>
      <c r="L67" s="413" t="s">
        <v>529</v>
      </c>
    </row>
    <row r="68" spans="1:12" s="330" customFormat="1" ht="15.75" hidden="1">
      <c r="A68" s="413" t="s">
        <v>530</v>
      </c>
      <c r="B68" s="414"/>
      <c r="C68" s="414">
        <v>0</v>
      </c>
      <c r="D68" s="414">
        <v>200</v>
      </c>
      <c r="E68" s="414">
        <v>750</v>
      </c>
      <c r="F68" s="414">
        <v>750</v>
      </c>
      <c r="G68" s="414">
        <v>3000</v>
      </c>
      <c r="H68" s="414">
        <v>3000</v>
      </c>
      <c r="I68" s="414">
        <v>3000</v>
      </c>
      <c r="J68" s="414">
        <v>15000</v>
      </c>
      <c r="K68" s="414">
        <v>3000</v>
      </c>
      <c r="L68" s="413"/>
    </row>
    <row r="69" spans="1:12" s="437" customFormat="1" ht="31.5">
      <c r="A69" s="436" t="s">
        <v>531</v>
      </c>
      <c r="B69" s="435">
        <f>SUM(C69:K69)</f>
        <v>335</v>
      </c>
      <c r="C69" s="435">
        <v>100</v>
      </c>
      <c r="D69" s="435"/>
      <c r="E69" s="435">
        <v>50</v>
      </c>
      <c r="F69" s="435"/>
      <c r="G69" s="435">
        <v>50</v>
      </c>
      <c r="H69" s="435">
        <v>45</v>
      </c>
      <c r="I69" s="435">
        <v>0</v>
      </c>
      <c r="J69" s="435">
        <v>0</v>
      </c>
      <c r="K69" s="435">
        <v>90</v>
      </c>
      <c r="L69" s="436"/>
    </row>
    <row r="70" spans="1:12" s="330" customFormat="1" ht="31.5">
      <c r="A70" s="413" t="s">
        <v>532</v>
      </c>
      <c r="B70" s="414">
        <f>SUM(C70:K70)</f>
        <v>330</v>
      </c>
      <c r="C70" s="438">
        <v>90</v>
      </c>
      <c r="D70" s="438">
        <v>15</v>
      </c>
      <c r="E70" s="438">
        <v>30</v>
      </c>
      <c r="F70" s="438">
        <v>40</v>
      </c>
      <c r="G70" s="438">
        <v>30</v>
      </c>
      <c r="H70" s="438">
        <v>65</v>
      </c>
      <c r="I70" s="438">
        <v>20</v>
      </c>
      <c r="J70" s="438">
        <v>0</v>
      </c>
      <c r="K70" s="438">
        <v>40</v>
      </c>
      <c r="L70" s="413"/>
    </row>
    <row r="71" spans="1:12" s="330" customFormat="1" ht="31.5">
      <c r="A71" s="413" t="s">
        <v>533</v>
      </c>
      <c r="B71" s="414">
        <f>SUM(C71:K71)</f>
        <v>129</v>
      </c>
      <c r="C71" s="438">
        <v>30</v>
      </c>
      <c r="D71" s="438">
        <v>4</v>
      </c>
      <c r="E71" s="438">
        <v>25</v>
      </c>
      <c r="F71" s="438">
        <v>25</v>
      </c>
      <c r="G71" s="438">
        <v>10</v>
      </c>
      <c r="H71" s="438">
        <v>10</v>
      </c>
      <c r="I71" s="438">
        <v>0</v>
      </c>
      <c r="J71" s="438">
        <v>0</v>
      </c>
      <c r="K71" s="438">
        <v>25</v>
      </c>
      <c r="L71" s="413"/>
    </row>
    <row r="72" spans="1:12" s="330" customFormat="1" ht="18" customHeight="1">
      <c r="A72" s="452" t="s">
        <v>534</v>
      </c>
      <c r="B72" s="453">
        <v>13415.6</v>
      </c>
      <c r="C72" s="453">
        <v>3541.3</v>
      </c>
      <c r="D72" s="453">
        <v>1254.5</v>
      </c>
      <c r="E72" s="453">
        <v>1336.1</v>
      </c>
      <c r="F72" s="453">
        <v>1284</v>
      </c>
      <c r="G72" s="453">
        <v>1291.6</v>
      </c>
      <c r="H72" s="453">
        <v>1326.4</v>
      </c>
      <c r="I72" s="453">
        <v>1266.5</v>
      </c>
      <c r="J72" s="453">
        <v>687.5</v>
      </c>
      <c r="K72" s="453">
        <v>1427.7</v>
      </c>
      <c r="L72" s="413"/>
    </row>
    <row r="73" spans="1:12" ht="18.75" customHeight="1">
      <c r="A73" s="452" t="s">
        <v>535</v>
      </c>
      <c r="B73" s="453">
        <v>13415.6</v>
      </c>
      <c r="C73" s="453">
        <v>3541.3</v>
      </c>
      <c r="D73" s="453">
        <v>1254.5</v>
      </c>
      <c r="E73" s="453">
        <v>1336.1</v>
      </c>
      <c r="F73" s="453">
        <v>1284</v>
      </c>
      <c r="G73" s="453">
        <v>1291.6</v>
      </c>
      <c r="H73" s="453">
        <v>1326.4</v>
      </c>
      <c r="I73" s="453">
        <v>1266.5</v>
      </c>
      <c r="J73" s="453">
        <v>687.5</v>
      </c>
      <c r="K73" s="453">
        <v>1427.7</v>
      </c>
      <c r="L73" s="439"/>
    </row>
    <row r="74" spans="1:12" ht="24" customHeight="1">
      <c r="A74" s="452" t="s">
        <v>540</v>
      </c>
      <c r="B74" s="453">
        <v>13415.6</v>
      </c>
      <c r="C74" s="453">
        <v>3541.3</v>
      </c>
      <c r="D74" s="453">
        <v>1254.5</v>
      </c>
      <c r="E74" s="453">
        <v>1336.1</v>
      </c>
      <c r="F74" s="453">
        <v>1284</v>
      </c>
      <c r="G74" s="453">
        <v>1291.6</v>
      </c>
      <c r="H74" s="453">
        <v>1326.4</v>
      </c>
      <c r="I74" s="453">
        <v>1266.5</v>
      </c>
      <c r="J74" s="453">
        <v>687.5</v>
      </c>
      <c r="K74" s="453">
        <v>1427.7</v>
      </c>
      <c r="L74" s="439"/>
    </row>
  </sheetData>
  <sheetProtection/>
  <mergeCells count="2">
    <mergeCell ref="A2:K2"/>
    <mergeCell ref="A1:K1"/>
  </mergeCells>
  <printOptions/>
  <pageMargins left="0.2755905511811024" right="0.2755905511811024" top="0.7480314960629921" bottom="0.7480314960629921" header="0.31496062992125984" footer="0.31496062992125984"/>
  <pageSetup fitToHeight="1" fitToWidth="1" horizontalDpi="600" verticalDpi="600" orientation="portrait" paperSize="9" scale="61" r:id="rId3"/>
  <rowBreaks count="1" manualBreakCount="1">
    <brk id="21" max="255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47.75390625" style="318" customWidth="1"/>
    <col min="2" max="2" width="12.125" style="318" customWidth="1"/>
    <col min="3" max="3" width="12.375" style="318" customWidth="1"/>
    <col min="4" max="4" width="17.00390625" style="318" customWidth="1"/>
    <col min="5" max="5" width="19.25390625" style="318" customWidth="1"/>
    <col min="6" max="6" width="21.00390625" style="318" customWidth="1"/>
    <col min="7" max="16384" width="9.125" style="318" customWidth="1"/>
  </cols>
  <sheetData>
    <row r="1" spans="1:6" s="28" customFormat="1" ht="16.5" customHeight="1">
      <c r="A1" s="570" t="s">
        <v>107</v>
      </c>
      <c r="B1" s="570"/>
      <c r="C1" s="570"/>
      <c r="D1" s="570"/>
      <c r="E1" s="570"/>
      <c r="F1" s="570"/>
    </row>
    <row r="2" spans="1:6" ht="78" customHeight="1">
      <c r="A2" s="570" t="s">
        <v>556</v>
      </c>
      <c r="B2" s="570"/>
      <c r="C2" s="570"/>
      <c r="D2" s="570"/>
      <c r="E2" s="570"/>
      <c r="F2" s="570"/>
    </row>
    <row r="3" spans="1:6" ht="15.75">
      <c r="A3" s="321"/>
      <c r="B3" s="321"/>
      <c r="C3" s="321"/>
      <c r="D3" s="319"/>
      <c r="E3" s="319"/>
      <c r="F3" s="319" t="s">
        <v>397</v>
      </c>
    </row>
    <row r="4" spans="1:6" s="325" customFormat="1" ht="23.25" customHeight="1">
      <c r="A4" s="571" t="s">
        <v>308</v>
      </c>
      <c r="B4" s="572" t="s">
        <v>287</v>
      </c>
      <c r="C4" s="572"/>
      <c r="D4" s="572"/>
      <c r="E4" s="324" t="s">
        <v>288</v>
      </c>
      <c r="F4" s="324" t="s">
        <v>333</v>
      </c>
    </row>
    <row r="5" spans="1:6" s="322" customFormat="1" ht="118.5" customHeight="1">
      <c r="A5" s="571"/>
      <c r="B5" s="323" t="s">
        <v>398</v>
      </c>
      <c r="C5" s="323" t="s">
        <v>399</v>
      </c>
      <c r="D5" s="323" t="s">
        <v>400</v>
      </c>
      <c r="E5" s="323" t="s">
        <v>400</v>
      </c>
      <c r="F5" s="323" t="s">
        <v>400</v>
      </c>
    </row>
    <row r="6" spans="1:6" ht="15.75">
      <c r="A6" s="320" t="s">
        <v>118</v>
      </c>
      <c r="B6" s="320">
        <v>37</v>
      </c>
      <c r="C6" s="320">
        <v>1</v>
      </c>
      <c r="D6" s="320">
        <f aca="true" t="shared" si="0" ref="D6:D12">B6*C6</f>
        <v>37</v>
      </c>
      <c r="E6" s="320">
        <v>37</v>
      </c>
      <c r="F6" s="320">
        <v>37</v>
      </c>
    </row>
    <row r="7" spans="1:6" ht="15.75">
      <c r="A7" s="320" t="s">
        <v>113</v>
      </c>
      <c r="B7" s="320">
        <v>35</v>
      </c>
      <c r="C7" s="320">
        <v>1</v>
      </c>
      <c r="D7" s="320">
        <f t="shared" si="0"/>
        <v>35</v>
      </c>
      <c r="E7" s="320">
        <v>35</v>
      </c>
      <c r="F7" s="320">
        <v>35</v>
      </c>
    </row>
    <row r="8" spans="1:6" ht="15.75">
      <c r="A8" s="320" t="s">
        <v>120</v>
      </c>
      <c r="B8" s="320">
        <v>35</v>
      </c>
      <c r="C8" s="320">
        <v>1</v>
      </c>
      <c r="D8" s="320">
        <f t="shared" si="0"/>
        <v>35</v>
      </c>
      <c r="E8" s="320">
        <v>35</v>
      </c>
      <c r="F8" s="320">
        <v>35</v>
      </c>
    </row>
    <row r="9" spans="1:6" ht="15.75">
      <c r="A9" s="320" t="s">
        <v>119</v>
      </c>
      <c r="B9" s="320">
        <v>35</v>
      </c>
      <c r="C9" s="320">
        <v>1</v>
      </c>
      <c r="D9" s="320">
        <f t="shared" si="0"/>
        <v>35</v>
      </c>
      <c r="E9" s="320">
        <v>35</v>
      </c>
      <c r="F9" s="320">
        <v>35</v>
      </c>
    </row>
    <row r="10" spans="1:6" ht="15.75">
      <c r="A10" s="320" t="s">
        <v>116</v>
      </c>
      <c r="B10" s="320">
        <v>37.5</v>
      </c>
      <c r="C10" s="320">
        <v>1</v>
      </c>
      <c r="D10" s="320">
        <f t="shared" si="0"/>
        <v>37.5</v>
      </c>
      <c r="E10" s="320">
        <v>37.5</v>
      </c>
      <c r="F10" s="320">
        <v>37.5</v>
      </c>
    </row>
    <row r="11" spans="1:6" ht="15.75">
      <c r="A11" s="320" t="s">
        <v>112</v>
      </c>
      <c r="B11" s="320">
        <v>35.5</v>
      </c>
      <c r="C11" s="320">
        <v>1</v>
      </c>
      <c r="D11" s="320">
        <f t="shared" si="0"/>
        <v>35.5</v>
      </c>
      <c r="E11" s="320">
        <v>35.5</v>
      </c>
      <c r="F11" s="320">
        <v>35.5</v>
      </c>
    </row>
    <row r="12" spans="1:6" ht="15.75">
      <c r="A12" s="320" t="s">
        <v>117</v>
      </c>
      <c r="B12" s="320">
        <v>35</v>
      </c>
      <c r="C12" s="320">
        <v>1</v>
      </c>
      <c r="D12" s="320">
        <f t="shared" si="0"/>
        <v>35</v>
      </c>
      <c r="E12" s="320">
        <v>35</v>
      </c>
      <c r="F12" s="320">
        <v>35</v>
      </c>
    </row>
    <row r="13" spans="1:6" s="28" customFormat="1" ht="15.75">
      <c r="A13" s="326" t="s">
        <v>33</v>
      </c>
      <c r="B13" s="326"/>
      <c r="C13" s="326"/>
      <c r="D13" s="320">
        <f>SUM(D6:D12)</f>
        <v>250</v>
      </c>
      <c r="E13" s="320">
        <f>SUM(E6:E12)</f>
        <v>250</v>
      </c>
      <c r="F13" s="320">
        <f>SUM(F6:F12)</f>
        <v>250</v>
      </c>
    </row>
  </sheetData>
  <sheetProtection/>
  <mergeCells count="4">
    <mergeCell ref="A2:F2"/>
    <mergeCell ref="A4:A5"/>
    <mergeCell ref="B4:D4"/>
    <mergeCell ref="A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9"/>
  <sheetViews>
    <sheetView view="pageBreakPreview" zoomScale="80" zoomScaleNormal="70" zoomScaleSheetLayoutView="80" zoomScalePageLayoutView="0" workbookViewId="0" topLeftCell="A1">
      <selection activeCell="E5" sqref="E5:G6"/>
    </sheetView>
  </sheetViews>
  <sheetFormatPr defaultColWidth="18.25390625" defaultRowHeight="12.75"/>
  <cols>
    <col min="1" max="1" width="43.25390625" style="11" customWidth="1"/>
    <col min="2" max="2" width="21.75390625" style="11" customWidth="1"/>
    <col min="3" max="3" width="23.125" style="11" customWidth="1"/>
    <col min="4" max="4" width="21.375" style="11" customWidth="1"/>
    <col min="5" max="5" width="22.625" style="11" customWidth="1"/>
    <col min="6" max="6" width="21.625" style="11" customWidth="1"/>
    <col min="7" max="7" width="24.00390625" style="11" customWidth="1"/>
    <col min="8" max="8" width="21.125" style="11" customWidth="1"/>
    <col min="9" max="9" width="19.625" style="11" customWidth="1"/>
    <col min="10" max="10" width="22.625" style="11" customWidth="1"/>
    <col min="11" max="11" width="11.00390625" style="11" customWidth="1"/>
    <col min="12" max="13" width="10.875" style="11" customWidth="1"/>
    <col min="14" max="14" width="12.25390625" style="11" customWidth="1"/>
    <col min="15" max="16384" width="18.25390625" style="11" customWidth="1"/>
  </cols>
  <sheetData>
    <row r="1" spans="1:10" ht="30.75" customHeight="1">
      <c r="A1" s="475" t="s">
        <v>107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ht="24.75" customHeight="1">
      <c r="A2" s="475" t="s">
        <v>371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ht="21.75" customHeight="1">
      <c r="A3" s="475" t="s">
        <v>372</v>
      </c>
      <c r="B3" s="475"/>
      <c r="C3" s="475"/>
      <c r="D3" s="475"/>
      <c r="E3" s="475"/>
      <c r="F3" s="475"/>
      <c r="G3" s="475"/>
      <c r="H3" s="475"/>
      <c r="I3" s="475"/>
      <c r="J3" s="475"/>
    </row>
    <row r="4" ht="46.5" customHeight="1">
      <c r="J4" s="102" t="s">
        <v>30</v>
      </c>
    </row>
    <row r="5" spans="1:10" ht="15.75" customHeight="1">
      <c r="A5" s="478" t="s">
        <v>31</v>
      </c>
      <c r="B5" s="476" t="s">
        <v>284</v>
      </c>
      <c r="C5" s="476"/>
      <c r="D5" s="476"/>
      <c r="E5" s="477" t="s">
        <v>285</v>
      </c>
      <c r="F5" s="477"/>
      <c r="G5" s="477"/>
      <c r="H5" s="477" t="s">
        <v>286</v>
      </c>
      <c r="I5" s="477"/>
      <c r="J5" s="477"/>
    </row>
    <row r="6" spans="1:10" ht="200.25" customHeight="1">
      <c r="A6" s="479"/>
      <c r="B6" s="476"/>
      <c r="C6" s="476"/>
      <c r="D6" s="476"/>
      <c r="E6" s="477"/>
      <c r="F6" s="477"/>
      <c r="G6" s="477"/>
      <c r="H6" s="477"/>
      <c r="I6" s="477"/>
      <c r="J6" s="477"/>
    </row>
    <row r="7" spans="1:10" ht="44.25" customHeight="1">
      <c r="A7" s="480"/>
      <c r="B7" s="14" t="s">
        <v>287</v>
      </c>
      <c r="C7" s="14" t="s">
        <v>288</v>
      </c>
      <c r="D7" s="14" t="s">
        <v>333</v>
      </c>
      <c r="E7" s="14" t="s">
        <v>287</v>
      </c>
      <c r="F7" s="14" t="s">
        <v>288</v>
      </c>
      <c r="G7" s="14" t="s">
        <v>333</v>
      </c>
      <c r="H7" s="14" t="s">
        <v>287</v>
      </c>
      <c r="I7" s="14" t="s">
        <v>288</v>
      </c>
      <c r="J7" s="14" t="s">
        <v>333</v>
      </c>
    </row>
    <row r="8" spans="1:10" ht="30" customHeight="1">
      <c r="A8" s="291" t="s">
        <v>10</v>
      </c>
      <c r="B8" s="292">
        <v>3959.2</v>
      </c>
      <c r="C8" s="292">
        <v>3959.2</v>
      </c>
      <c r="D8" s="292">
        <v>3959.2</v>
      </c>
      <c r="E8" s="292">
        <v>15002.5</v>
      </c>
      <c r="F8" s="292">
        <v>15002.5</v>
      </c>
      <c r="G8" s="292">
        <v>15002.5</v>
      </c>
      <c r="H8" s="292">
        <f aca="true" t="shared" si="0" ref="H8:J9">B8+E8</f>
        <v>18961.7</v>
      </c>
      <c r="I8" s="292">
        <f t="shared" si="0"/>
        <v>18961.7</v>
      </c>
      <c r="J8" s="292">
        <f t="shared" si="0"/>
        <v>18961.7</v>
      </c>
    </row>
    <row r="9" spans="1:10" ht="31.5" customHeight="1">
      <c r="A9" s="291" t="s">
        <v>113</v>
      </c>
      <c r="B9" s="292">
        <v>1097.9</v>
      </c>
      <c r="C9" s="292">
        <v>1097.9</v>
      </c>
      <c r="D9" s="292">
        <v>1097.9</v>
      </c>
      <c r="E9" s="292">
        <v>3370</v>
      </c>
      <c r="F9" s="292">
        <v>3370</v>
      </c>
      <c r="G9" s="292">
        <v>3370</v>
      </c>
      <c r="H9" s="292">
        <f t="shared" si="0"/>
        <v>4467.9</v>
      </c>
      <c r="I9" s="292">
        <f t="shared" si="0"/>
        <v>4467.9</v>
      </c>
      <c r="J9" s="292">
        <f t="shared" si="0"/>
        <v>4467.9</v>
      </c>
    </row>
    <row r="10" spans="1:10" ht="27.75" customHeight="1">
      <c r="A10" s="291" t="s">
        <v>109</v>
      </c>
      <c r="B10" s="292">
        <v>638.5</v>
      </c>
      <c r="C10" s="292">
        <v>638.5</v>
      </c>
      <c r="D10" s="292">
        <v>638.5</v>
      </c>
      <c r="E10" s="292">
        <v>2510</v>
      </c>
      <c r="F10" s="292">
        <v>2510</v>
      </c>
      <c r="G10" s="292">
        <v>2510</v>
      </c>
      <c r="H10" s="292">
        <f aca="true" t="shared" si="1" ref="H10:H16">B10+E10</f>
        <v>3148.5</v>
      </c>
      <c r="I10" s="292">
        <f aca="true" t="shared" si="2" ref="I10:I16">C10+F10</f>
        <v>3148.5</v>
      </c>
      <c r="J10" s="292">
        <f aca="true" t="shared" si="3" ref="J10:J16">D10+G10</f>
        <v>3148.5</v>
      </c>
    </row>
    <row r="11" spans="1:10" ht="29.25" customHeight="1">
      <c r="A11" s="291" t="s">
        <v>116</v>
      </c>
      <c r="B11" s="292">
        <v>545.3</v>
      </c>
      <c r="C11" s="292">
        <v>545.3</v>
      </c>
      <c r="D11" s="292">
        <v>545.3</v>
      </c>
      <c r="E11" s="292">
        <v>2245</v>
      </c>
      <c r="F11" s="292">
        <v>2245</v>
      </c>
      <c r="G11" s="292">
        <v>2245</v>
      </c>
      <c r="H11" s="292">
        <f t="shared" si="1"/>
        <v>2790.3</v>
      </c>
      <c r="I11" s="292">
        <f t="shared" si="2"/>
        <v>2790.3</v>
      </c>
      <c r="J11" s="292">
        <f t="shared" si="3"/>
        <v>2790.3</v>
      </c>
    </row>
    <row r="12" spans="1:10" ht="30" customHeight="1">
      <c r="A12" s="291" t="s">
        <v>112</v>
      </c>
      <c r="B12" s="292">
        <v>560</v>
      </c>
      <c r="C12" s="292">
        <v>560</v>
      </c>
      <c r="D12" s="292">
        <v>560</v>
      </c>
      <c r="E12" s="292">
        <v>2463</v>
      </c>
      <c r="F12" s="292">
        <v>2463</v>
      </c>
      <c r="G12" s="292">
        <v>2463</v>
      </c>
      <c r="H12" s="292">
        <f t="shared" si="1"/>
        <v>3023</v>
      </c>
      <c r="I12" s="292">
        <f t="shared" si="2"/>
        <v>3023</v>
      </c>
      <c r="J12" s="292">
        <f t="shared" si="3"/>
        <v>3023</v>
      </c>
    </row>
    <row r="13" spans="1:10" ht="30.75" customHeight="1">
      <c r="A13" s="291" t="s">
        <v>117</v>
      </c>
      <c r="B13" s="292">
        <v>660.8</v>
      </c>
      <c r="C13" s="292">
        <v>660.8</v>
      </c>
      <c r="D13" s="292">
        <v>660.8</v>
      </c>
      <c r="E13" s="292">
        <v>2325</v>
      </c>
      <c r="F13" s="292">
        <v>2325</v>
      </c>
      <c r="G13" s="292">
        <v>2325</v>
      </c>
      <c r="H13" s="292">
        <f t="shared" si="1"/>
        <v>2985.8</v>
      </c>
      <c r="I13" s="292">
        <f t="shared" si="2"/>
        <v>2985.8</v>
      </c>
      <c r="J13" s="292">
        <f t="shared" si="3"/>
        <v>2985.8</v>
      </c>
    </row>
    <row r="14" spans="1:10" ht="29.25" customHeight="1">
      <c r="A14" s="291" t="s">
        <v>118</v>
      </c>
      <c r="B14" s="292">
        <v>550.3</v>
      </c>
      <c r="C14" s="292">
        <v>550.3</v>
      </c>
      <c r="D14" s="292">
        <v>550.3</v>
      </c>
      <c r="E14" s="292">
        <v>2236</v>
      </c>
      <c r="F14" s="292">
        <v>2236</v>
      </c>
      <c r="G14" s="292">
        <v>2236</v>
      </c>
      <c r="H14" s="292">
        <f t="shared" si="1"/>
        <v>2786.3</v>
      </c>
      <c r="I14" s="292">
        <f t="shared" si="2"/>
        <v>2786.3</v>
      </c>
      <c r="J14" s="292">
        <f t="shared" si="3"/>
        <v>2786.3</v>
      </c>
    </row>
    <row r="15" spans="1:10" ht="30" customHeight="1">
      <c r="A15" s="291" t="s">
        <v>119</v>
      </c>
      <c r="B15" s="292">
        <v>1111.8</v>
      </c>
      <c r="C15" s="292">
        <v>1111.8</v>
      </c>
      <c r="D15" s="292">
        <v>1111.8</v>
      </c>
      <c r="E15" s="292">
        <v>2360</v>
      </c>
      <c r="F15" s="292">
        <v>2360</v>
      </c>
      <c r="G15" s="292">
        <v>2360</v>
      </c>
      <c r="H15" s="292">
        <f t="shared" si="1"/>
        <v>3471.8</v>
      </c>
      <c r="I15" s="292">
        <f t="shared" si="2"/>
        <v>3471.8</v>
      </c>
      <c r="J15" s="292">
        <f t="shared" si="3"/>
        <v>3471.8</v>
      </c>
    </row>
    <row r="16" spans="1:10" ht="30.75" customHeight="1">
      <c r="A16" s="291" t="s">
        <v>120</v>
      </c>
      <c r="B16" s="292">
        <v>1179.5</v>
      </c>
      <c r="C16" s="292">
        <v>1179.5</v>
      </c>
      <c r="D16" s="292">
        <v>1179.5</v>
      </c>
      <c r="E16" s="292">
        <v>3475</v>
      </c>
      <c r="F16" s="292">
        <v>3475</v>
      </c>
      <c r="G16" s="292">
        <v>3475</v>
      </c>
      <c r="H16" s="292">
        <f t="shared" si="1"/>
        <v>4654.5</v>
      </c>
      <c r="I16" s="292">
        <f t="shared" si="2"/>
        <v>4654.5</v>
      </c>
      <c r="J16" s="292">
        <f t="shared" si="3"/>
        <v>4654.5</v>
      </c>
    </row>
    <row r="17" spans="1:10" ht="39.75" customHeight="1">
      <c r="A17" s="293" t="s">
        <v>33</v>
      </c>
      <c r="B17" s="292">
        <f aca="true" t="shared" si="4" ref="B17:J17">SUM(B8:B16)</f>
        <v>10303.300000000001</v>
      </c>
      <c r="C17" s="292">
        <f t="shared" si="4"/>
        <v>10303.300000000001</v>
      </c>
      <c r="D17" s="292">
        <f t="shared" si="4"/>
        <v>10303.300000000001</v>
      </c>
      <c r="E17" s="292">
        <f t="shared" si="4"/>
        <v>35986.5</v>
      </c>
      <c r="F17" s="292">
        <f t="shared" si="4"/>
        <v>35986.5</v>
      </c>
      <c r="G17" s="292">
        <f t="shared" si="4"/>
        <v>35986.5</v>
      </c>
      <c r="H17" s="292">
        <f t="shared" si="4"/>
        <v>46289.8</v>
      </c>
      <c r="I17" s="292">
        <f t="shared" si="4"/>
        <v>46289.8</v>
      </c>
      <c r="J17" s="292">
        <f t="shared" si="4"/>
        <v>46289.8</v>
      </c>
    </row>
    <row r="18" ht="15.75">
      <c r="A18" s="288"/>
    </row>
    <row r="19" ht="29.25" customHeight="1">
      <c r="A19" s="288"/>
    </row>
    <row r="20" ht="28.5" customHeight="1"/>
  </sheetData>
  <sheetProtection/>
  <mergeCells count="7">
    <mergeCell ref="A1:J1"/>
    <mergeCell ref="A2:J2"/>
    <mergeCell ref="A3:J3"/>
    <mergeCell ref="B5:D6"/>
    <mergeCell ref="E5:G6"/>
    <mergeCell ref="H5:J6"/>
    <mergeCell ref="A5:A7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1.75390625" style="318" customWidth="1"/>
    <col min="2" max="2" width="14.125" style="318" customWidth="1"/>
    <col min="3" max="3" width="13.75390625" style="318" customWidth="1"/>
    <col min="4" max="4" width="17.00390625" style="318" customWidth="1"/>
    <col min="5" max="5" width="18.625" style="318" customWidth="1"/>
    <col min="6" max="6" width="22.00390625" style="318" customWidth="1"/>
    <col min="7" max="16384" width="9.125" style="318" customWidth="1"/>
  </cols>
  <sheetData>
    <row r="1" spans="1:6" ht="15.75">
      <c r="A1" s="562" t="s">
        <v>107</v>
      </c>
      <c r="B1" s="562"/>
      <c r="C1" s="562"/>
      <c r="D1" s="562"/>
      <c r="E1" s="562"/>
      <c r="F1" s="562"/>
    </row>
    <row r="2" spans="1:6" ht="45.75" customHeight="1">
      <c r="A2" s="570" t="s">
        <v>401</v>
      </c>
      <c r="B2" s="570"/>
      <c r="C2" s="570"/>
      <c r="D2" s="570"/>
      <c r="E2" s="570"/>
      <c r="F2" s="570"/>
    </row>
    <row r="3" spans="1:6" ht="37.5" customHeight="1">
      <c r="A3" s="321"/>
      <c r="B3" s="321"/>
      <c r="C3" s="321"/>
      <c r="D3" s="319"/>
      <c r="E3" s="319"/>
      <c r="F3" s="319" t="s">
        <v>397</v>
      </c>
    </row>
    <row r="4" spans="1:6" s="325" customFormat="1" ht="23.25" customHeight="1">
      <c r="A4" s="571" t="s">
        <v>308</v>
      </c>
      <c r="B4" s="572" t="s">
        <v>287</v>
      </c>
      <c r="C4" s="572"/>
      <c r="D4" s="572"/>
      <c r="E4" s="324" t="s">
        <v>288</v>
      </c>
      <c r="F4" s="324" t="s">
        <v>333</v>
      </c>
    </row>
    <row r="5" spans="1:6" ht="125.25" customHeight="1">
      <c r="A5" s="571"/>
      <c r="B5" s="323" t="s">
        <v>398</v>
      </c>
      <c r="C5" s="323" t="s">
        <v>399</v>
      </c>
      <c r="D5" s="323" t="s">
        <v>400</v>
      </c>
      <c r="E5" s="323" t="s">
        <v>400</v>
      </c>
      <c r="F5" s="323" t="s">
        <v>400</v>
      </c>
    </row>
    <row r="6" spans="1:6" ht="15.75">
      <c r="A6" s="320" t="s">
        <v>112</v>
      </c>
      <c r="B6" s="320">
        <v>55</v>
      </c>
      <c r="C6" s="320">
        <v>1</v>
      </c>
      <c r="D6" s="320">
        <f>B6*C6</f>
        <v>55</v>
      </c>
      <c r="E6" s="320">
        <v>55</v>
      </c>
      <c r="F6" s="320">
        <v>55</v>
      </c>
    </row>
    <row r="7" spans="1:6" ht="15.75">
      <c r="A7" s="320" t="s">
        <v>116</v>
      </c>
      <c r="B7" s="320">
        <v>9</v>
      </c>
      <c r="C7" s="320">
        <v>1</v>
      </c>
      <c r="D7" s="320">
        <f>B7*C7</f>
        <v>9</v>
      </c>
      <c r="E7" s="320">
        <v>9</v>
      </c>
      <c r="F7" s="320">
        <v>9</v>
      </c>
    </row>
    <row r="8" spans="1:6" ht="15.75">
      <c r="A8" s="320" t="s">
        <v>113</v>
      </c>
      <c r="B8" s="320">
        <v>36</v>
      </c>
      <c r="C8" s="320">
        <v>1</v>
      </c>
      <c r="D8" s="320">
        <f>B8*C8</f>
        <v>36</v>
      </c>
      <c r="E8" s="320">
        <v>36</v>
      </c>
      <c r="F8" s="320">
        <v>36</v>
      </c>
    </row>
    <row r="9" spans="1:6" s="28" customFormat="1" ht="15.75">
      <c r="A9" s="326" t="s">
        <v>33</v>
      </c>
      <c r="B9" s="326"/>
      <c r="C9" s="326"/>
      <c r="D9" s="320">
        <f>SUM(D6:D8)</f>
        <v>100</v>
      </c>
      <c r="E9" s="320">
        <f>SUM(E6:E8)</f>
        <v>100</v>
      </c>
      <c r="F9" s="320">
        <f>SUM(F6:F8)</f>
        <v>100</v>
      </c>
    </row>
  </sheetData>
  <sheetProtection/>
  <mergeCells count="4">
    <mergeCell ref="A2:F2"/>
    <mergeCell ref="A4:A5"/>
    <mergeCell ref="B4:D4"/>
    <mergeCell ref="A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0.125" style="318" customWidth="1"/>
    <col min="2" max="2" width="12.375" style="318" customWidth="1"/>
    <col min="3" max="3" width="12.25390625" style="318" customWidth="1"/>
    <col min="4" max="4" width="18.00390625" style="318" customWidth="1"/>
    <col min="5" max="5" width="17.375" style="318" customWidth="1"/>
    <col min="6" max="6" width="19.375" style="318" customWidth="1"/>
    <col min="7" max="16384" width="9.125" style="318" customWidth="1"/>
  </cols>
  <sheetData>
    <row r="1" spans="1:6" ht="15.75">
      <c r="A1" s="570" t="s">
        <v>107</v>
      </c>
      <c r="B1" s="570"/>
      <c r="C1" s="570"/>
      <c r="D1" s="570"/>
      <c r="E1" s="570"/>
      <c r="F1" s="570"/>
    </row>
    <row r="2" spans="1:6" ht="47.25" customHeight="1">
      <c r="A2" s="570" t="s">
        <v>402</v>
      </c>
      <c r="B2" s="570"/>
      <c r="C2" s="570"/>
      <c r="D2" s="570"/>
      <c r="E2" s="570"/>
      <c r="F2" s="570"/>
    </row>
    <row r="3" spans="1:6" ht="16.5" customHeight="1">
      <c r="A3" s="321"/>
      <c r="B3" s="321"/>
      <c r="C3" s="321"/>
      <c r="D3" s="319"/>
      <c r="E3" s="319"/>
      <c r="F3" s="319" t="s">
        <v>397</v>
      </c>
    </row>
    <row r="4" spans="1:6" s="325" customFormat="1" ht="24.75" customHeight="1">
      <c r="A4" s="571" t="s">
        <v>308</v>
      </c>
      <c r="B4" s="572" t="s">
        <v>287</v>
      </c>
      <c r="C4" s="572"/>
      <c r="D4" s="572"/>
      <c r="E4" s="324" t="s">
        <v>288</v>
      </c>
      <c r="F4" s="324" t="s">
        <v>333</v>
      </c>
    </row>
    <row r="5" spans="1:6" ht="75">
      <c r="A5" s="571"/>
      <c r="B5" s="323" t="s">
        <v>398</v>
      </c>
      <c r="C5" s="323" t="s">
        <v>399</v>
      </c>
      <c r="D5" s="323" t="s">
        <v>400</v>
      </c>
      <c r="E5" s="323" t="s">
        <v>400</v>
      </c>
      <c r="F5" s="323" t="s">
        <v>400</v>
      </c>
    </row>
    <row r="6" spans="1:6" ht="15.75">
      <c r="A6" s="327" t="s">
        <v>10</v>
      </c>
      <c r="B6" s="328">
        <v>30</v>
      </c>
      <c r="C6" s="328">
        <v>1</v>
      </c>
      <c r="D6" s="328">
        <f>B6*C6</f>
        <v>30</v>
      </c>
      <c r="E6" s="328">
        <v>30</v>
      </c>
      <c r="F6" s="328">
        <v>30</v>
      </c>
    </row>
    <row r="7" spans="1:6" ht="15.75">
      <c r="A7" s="320" t="s">
        <v>109</v>
      </c>
      <c r="B7" s="320">
        <v>40</v>
      </c>
      <c r="C7" s="320">
        <v>1</v>
      </c>
      <c r="D7" s="328">
        <f>B7*C7</f>
        <v>40</v>
      </c>
      <c r="E7" s="328">
        <v>40</v>
      </c>
      <c r="F7" s="328">
        <v>40</v>
      </c>
    </row>
    <row r="8" spans="1:6" ht="15.75">
      <c r="A8" s="320" t="s">
        <v>113</v>
      </c>
      <c r="B8" s="320">
        <v>30</v>
      </c>
      <c r="C8" s="320">
        <v>2</v>
      </c>
      <c r="D8" s="328">
        <f>B8*C8</f>
        <v>60</v>
      </c>
      <c r="E8" s="328">
        <v>60</v>
      </c>
      <c r="F8" s="328">
        <v>60</v>
      </c>
    </row>
    <row r="9" spans="1:6" s="28" customFormat="1" ht="15.75">
      <c r="A9" s="326" t="s">
        <v>33</v>
      </c>
      <c r="B9" s="326"/>
      <c r="C9" s="326"/>
      <c r="D9" s="320">
        <f>SUM(D6:D8)</f>
        <v>130</v>
      </c>
      <c r="E9" s="320">
        <f>SUM(E6:E8)</f>
        <v>130</v>
      </c>
      <c r="F9" s="320">
        <f>SUM(F6:F8)</f>
        <v>130</v>
      </c>
    </row>
  </sheetData>
  <sheetProtection/>
  <mergeCells count="4">
    <mergeCell ref="A2:F2"/>
    <mergeCell ref="A4:A5"/>
    <mergeCell ref="B4:D4"/>
    <mergeCell ref="A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16.75390625" style="28" customWidth="1"/>
    <col min="2" max="2" width="11.25390625" style="28" customWidth="1"/>
    <col min="3" max="3" width="34.25390625" style="28" customWidth="1"/>
    <col min="4" max="4" width="16.75390625" style="28" customWidth="1"/>
    <col min="5" max="5" width="17.00390625" style="28" customWidth="1"/>
    <col min="6" max="6" width="18.375" style="28" customWidth="1"/>
    <col min="7" max="16384" width="9.125" style="28" customWidth="1"/>
  </cols>
  <sheetData>
    <row r="1" spans="1:6" ht="15.75">
      <c r="A1" s="562" t="s">
        <v>107</v>
      </c>
      <c r="B1" s="562"/>
      <c r="C1" s="562"/>
      <c r="D1" s="562"/>
      <c r="E1" s="562"/>
      <c r="F1" s="562"/>
    </row>
    <row r="2" spans="1:6" ht="75" customHeight="1">
      <c r="A2" s="570" t="s">
        <v>407</v>
      </c>
      <c r="B2" s="570"/>
      <c r="C2" s="570"/>
      <c r="D2" s="570"/>
      <c r="E2" s="570"/>
      <c r="F2" s="570"/>
    </row>
    <row r="3" spans="1:6" ht="16.5" customHeight="1">
      <c r="A3" s="321"/>
      <c r="D3" s="312"/>
      <c r="E3" s="312"/>
      <c r="F3" s="312" t="s">
        <v>397</v>
      </c>
    </row>
    <row r="4" spans="1:6" ht="15.75">
      <c r="A4" s="573" t="s">
        <v>4</v>
      </c>
      <c r="B4" s="574" t="s">
        <v>287</v>
      </c>
      <c r="C4" s="574"/>
      <c r="D4" s="574"/>
      <c r="E4" s="324" t="s">
        <v>288</v>
      </c>
      <c r="F4" s="324" t="s">
        <v>333</v>
      </c>
    </row>
    <row r="5" spans="1:6" s="330" customFormat="1" ht="96.75" customHeight="1">
      <c r="A5" s="573"/>
      <c r="B5" s="329" t="s">
        <v>403</v>
      </c>
      <c r="C5" s="329" t="s">
        <v>404</v>
      </c>
      <c r="D5" s="329" t="s">
        <v>405</v>
      </c>
      <c r="E5" s="329" t="s">
        <v>405</v>
      </c>
      <c r="F5" s="329" t="s">
        <v>405</v>
      </c>
    </row>
    <row r="6" spans="1:6" ht="27" customHeight="1">
      <c r="A6" s="327" t="s">
        <v>10</v>
      </c>
      <c r="B6" s="331">
        <v>365</v>
      </c>
      <c r="C6" s="331">
        <v>1</v>
      </c>
      <c r="D6" s="331">
        <f>B6*C6</f>
        <v>365</v>
      </c>
      <c r="E6" s="331">
        <v>365</v>
      </c>
      <c r="F6" s="331">
        <v>365</v>
      </c>
    </row>
  </sheetData>
  <sheetProtection/>
  <mergeCells count="4">
    <mergeCell ref="A2:F2"/>
    <mergeCell ref="A4:A5"/>
    <mergeCell ref="B4:D4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4.875" style="28" customWidth="1"/>
    <col min="2" max="2" width="16.00390625" style="28" customWidth="1"/>
    <col min="3" max="3" width="26.875" style="28" customWidth="1"/>
    <col min="4" max="4" width="17.00390625" style="28" customWidth="1"/>
    <col min="5" max="5" width="17.125" style="28" customWidth="1"/>
    <col min="6" max="6" width="18.375" style="28" customWidth="1"/>
    <col min="7" max="16384" width="9.125" style="28" customWidth="1"/>
  </cols>
  <sheetData>
    <row r="1" spans="1:6" ht="15.75">
      <c r="A1" s="562" t="s">
        <v>107</v>
      </c>
      <c r="B1" s="562"/>
      <c r="C1" s="562"/>
      <c r="D1" s="562"/>
      <c r="E1" s="562"/>
      <c r="F1" s="562"/>
    </row>
    <row r="2" spans="1:6" ht="60.75" customHeight="1">
      <c r="A2" s="570" t="s">
        <v>408</v>
      </c>
      <c r="B2" s="570"/>
      <c r="C2" s="570"/>
      <c r="D2" s="570"/>
      <c r="E2" s="570"/>
      <c r="F2" s="570"/>
    </row>
    <row r="4" spans="1:6" ht="15.75">
      <c r="A4" s="321"/>
      <c r="D4" s="312"/>
      <c r="F4" s="312" t="s">
        <v>397</v>
      </c>
    </row>
    <row r="5" spans="1:6" s="325" customFormat="1" ht="30.75" customHeight="1">
      <c r="A5" s="573" t="s">
        <v>308</v>
      </c>
      <c r="B5" s="572" t="s">
        <v>287</v>
      </c>
      <c r="C5" s="572"/>
      <c r="D5" s="572"/>
      <c r="E5" s="324" t="s">
        <v>288</v>
      </c>
      <c r="F5" s="324" t="s">
        <v>333</v>
      </c>
    </row>
    <row r="6" spans="1:6" ht="129.75" customHeight="1">
      <c r="A6" s="573"/>
      <c r="B6" s="329" t="s">
        <v>403</v>
      </c>
      <c r="C6" s="329" t="s">
        <v>409</v>
      </c>
      <c r="D6" s="329" t="s">
        <v>405</v>
      </c>
      <c r="E6" s="329" t="s">
        <v>403</v>
      </c>
      <c r="F6" s="329" t="s">
        <v>405</v>
      </c>
    </row>
    <row r="7" spans="1:6" ht="21" customHeight="1">
      <c r="A7" s="327" t="s">
        <v>10</v>
      </c>
      <c r="B7" s="331">
        <v>271.5</v>
      </c>
      <c r="C7" s="331">
        <v>1</v>
      </c>
      <c r="D7" s="331">
        <v>271.5</v>
      </c>
      <c r="E7" s="331">
        <v>271.5</v>
      </c>
      <c r="F7" s="331">
        <v>271.5</v>
      </c>
    </row>
    <row r="8" spans="1:6" ht="21.75" customHeight="1">
      <c r="A8" s="327" t="s">
        <v>120</v>
      </c>
      <c r="B8" s="332">
        <v>250</v>
      </c>
      <c r="C8" s="331">
        <v>1</v>
      </c>
      <c r="D8" s="332">
        <v>250</v>
      </c>
      <c r="E8" s="332">
        <v>250</v>
      </c>
      <c r="F8" s="332">
        <v>250</v>
      </c>
    </row>
    <row r="9" spans="1:6" ht="20.25" customHeight="1">
      <c r="A9" s="326" t="s">
        <v>33</v>
      </c>
      <c r="B9" s="315"/>
      <c r="C9" s="315"/>
      <c r="D9" s="315">
        <f>SUM(D7:D8)</f>
        <v>521.5</v>
      </c>
      <c r="E9" s="315">
        <f>SUM(E7:E8)</f>
        <v>521.5</v>
      </c>
      <c r="F9" s="315">
        <f>SUM(F7:F8)</f>
        <v>521.5</v>
      </c>
    </row>
  </sheetData>
  <sheetProtection/>
  <mergeCells count="4">
    <mergeCell ref="A1:F1"/>
    <mergeCell ref="A2:F2"/>
    <mergeCell ref="A5:A6"/>
    <mergeCell ref="B5:D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3"/>
  <sheetViews>
    <sheetView zoomScalePageLayoutView="0" workbookViewId="0" topLeftCell="A1">
      <selection activeCell="F11" sqref="F11"/>
    </sheetView>
  </sheetViews>
  <sheetFormatPr defaultColWidth="14.00390625" defaultRowHeight="12.75"/>
  <cols>
    <col min="1" max="1" width="30.75390625" style="397" customWidth="1"/>
    <col min="2" max="2" width="13.25390625" style="397" customWidth="1"/>
    <col min="3" max="3" width="10.75390625" style="397" customWidth="1"/>
    <col min="4" max="4" width="19.375" style="397" customWidth="1"/>
    <col min="5" max="5" width="16.375" style="397" customWidth="1"/>
    <col min="6" max="6" width="13.125" style="397" customWidth="1"/>
    <col min="7" max="7" width="16.125" style="397" customWidth="1"/>
    <col min="8" max="8" width="12.00390625" style="397" customWidth="1"/>
    <col min="9" max="9" width="11.00390625" style="397" customWidth="1"/>
    <col min="10" max="10" width="9.125" style="397" customWidth="1"/>
    <col min="11" max="11" width="10.75390625" style="397" bestFit="1" customWidth="1"/>
    <col min="12" max="252" width="9.125" style="397" customWidth="1"/>
    <col min="253" max="253" width="23.625" style="397" customWidth="1"/>
    <col min="254" max="254" width="11.375" style="397" customWidth="1"/>
    <col min="255" max="255" width="27.625" style="397" customWidth="1"/>
    <col min="256" max="16384" width="14.00390625" style="397" customWidth="1"/>
  </cols>
  <sheetData>
    <row r="1" spans="1:9" ht="15.75">
      <c r="A1" s="579" t="s">
        <v>107</v>
      </c>
      <c r="B1" s="579"/>
      <c r="C1" s="579"/>
      <c r="D1" s="579"/>
      <c r="E1" s="579"/>
      <c r="F1" s="579"/>
      <c r="G1" s="579"/>
      <c r="H1" s="579"/>
      <c r="I1" s="579"/>
    </row>
    <row r="2" spans="1:9" ht="70.5" customHeight="1">
      <c r="A2" s="578" t="s">
        <v>492</v>
      </c>
      <c r="B2" s="578"/>
      <c r="C2" s="578"/>
      <c r="D2" s="578"/>
      <c r="E2" s="578"/>
      <c r="F2" s="578"/>
      <c r="G2" s="578"/>
      <c r="H2" s="578"/>
      <c r="I2" s="578"/>
    </row>
    <row r="3" spans="1:7" ht="15.75">
      <c r="A3" s="403"/>
      <c r="B3" s="403"/>
      <c r="C3" s="403"/>
      <c r="D3" s="403"/>
      <c r="E3" s="403"/>
      <c r="F3" s="403"/>
      <c r="G3" s="403"/>
    </row>
    <row r="4" spans="1:9" ht="15.75">
      <c r="A4" s="403"/>
      <c r="B4" s="403"/>
      <c r="C4" s="403"/>
      <c r="D4" s="403"/>
      <c r="E4" s="403"/>
      <c r="F4" s="403"/>
      <c r="I4" s="398" t="s">
        <v>103</v>
      </c>
    </row>
    <row r="5" spans="1:9" ht="15.75">
      <c r="A5" s="580" t="s">
        <v>486</v>
      </c>
      <c r="B5" s="575" t="s">
        <v>489</v>
      </c>
      <c r="C5" s="575" t="s">
        <v>493</v>
      </c>
      <c r="D5" s="575" t="s">
        <v>494</v>
      </c>
      <c r="E5" s="575" t="s">
        <v>495</v>
      </c>
      <c r="F5" s="575" t="s">
        <v>490</v>
      </c>
      <c r="G5" s="575" t="s">
        <v>491</v>
      </c>
      <c r="H5" s="575" t="s">
        <v>288</v>
      </c>
      <c r="I5" s="575" t="s">
        <v>333</v>
      </c>
    </row>
    <row r="6" spans="1:9" ht="66" customHeight="1">
      <c r="A6" s="580"/>
      <c r="B6" s="581"/>
      <c r="C6" s="576"/>
      <c r="D6" s="576"/>
      <c r="E6" s="576"/>
      <c r="F6" s="576"/>
      <c r="G6" s="576"/>
      <c r="H6" s="577"/>
      <c r="I6" s="577"/>
    </row>
    <row r="7" spans="1:9" ht="15.75">
      <c r="A7" s="399">
        <v>1</v>
      </c>
      <c r="B7" s="400">
        <v>2</v>
      </c>
      <c r="C7" s="399">
        <v>3</v>
      </c>
      <c r="D7" s="400">
        <v>4</v>
      </c>
      <c r="E7" s="399">
        <v>5</v>
      </c>
      <c r="F7" s="400">
        <v>6</v>
      </c>
      <c r="G7" s="399">
        <v>7</v>
      </c>
      <c r="H7" s="399">
        <v>8</v>
      </c>
      <c r="I7" s="400">
        <v>9</v>
      </c>
    </row>
    <row r="8" spans="1:9" ht="21.75" customHeight="1">
      <c r="A8" s="171" t="s">
        <v>120</v>
      </c>
      <c r="B8" s="402">
        <v>2</v>
      </c>
      <c r="C8" s="404">
        <v>30580</v>
      </c>
      <c r="D8" s="404">
        <f>C8*0.2*2.5</f>
        <v>15290</v>
      </c>
      <c r="E8" s="404">
        <f>D8*0.302</f>
        <v>4617.58</v>
      </c>
      <c r="F8" s="404">
        <f>D8+E8</f>
        <v>19907.58</v>
      </c>
      <c r="G8" s="404">
        <v>238.9</v>
      </c>
      <c r="H8" s="404">
        <f aca="true" t="shared" si="0" ref="H8:I12">G8</f>
        <v>238.9</v>
      </c>
      <c r="I8" s="404">
        <f t="shared" si="0"/>
        <v>238.9</v>
      </c>
    </row>
    <row r="9" spans="1:9" ht="15.75">
      <c r="A9" s="171" t="s">
        <v>113</v>
      </c>
      <c r="B9" s="402">
        <v>3</v>
      </c>
      <c r="C9" s="404">
        <v>35160</v>
      </c>
      <c r="D9" s="404">
        <f>C9*0.2*2.5</f>
        <v>17580</v>
      </c>
      <c r="E9" s="404">
        <f>D9*0.302</f>
        <v>5309.16</v>
      </c>
      <c r="F9" s="404">
        <f>D9+E9</f>
        <v>22889.16</v>
      </c>
      <c r="G9" s="404">
        <v>274.7</v>
      </c>
      <c r="H9" s="404">
        <f t="shared" si="0"/>
        <v>274.7</v>
      </c>
      <c r="I9" s="404">
        <f t="shared" si="0"/>
        <v>274.7</v>
      </c>
    </row>
    <row r="10" spans="1:9" ht="31.5">
      <c r="A10" s="171" t="s">
        <v>109</v>
      </c>
      <c r="B10" s="402">
        <v>2</v>
      </c>
      <c r="C10" s="404">
        <v>35040</v>
      </c>
      <c r="D10" s="404">
        <f>C10*0.2*2.5</f>
        <v>17520</v>
      </c>
      <c r="E10" s="404">
        <f>D10*0.302</f>
        <v>5291.04</v>
      </c>
      <c r="F10" s="404">
        <f>D10+E10</f>
        <v>22811.04</v>
      </c>
      <c r="G10" s="404">
        <v>273.7</v>
      </c>
      <c r="H10" s="404">
        <f t="shared" si="0"/>
        <v>273.7</v>
      </c>
      <c r="I10" s="404">
        <f t="shared" si="0"/>
        <v>273.7</v>
      </c>
    </row>
    <row r="11" spans="1:9" ht="15.75">
      <c r="A11" s="171" t="s">
        <v>10</v>
      </c>
      <c r="B11" s="402">
        <v>9</v>
      </c>
      <c r="C11" s="404">
        <v>113755</v>
      </c>
      <c r="D11" s="404">
        <v>56877.5</v>
      </c>
      <c r="E11" s="404">
        <v>17177.005</v>
      </c>
      <c r="F11" s="404">
        <v>74054.505</v>
      </c>
      <c r="G11" s="404">
        <v>888.6</v>
      </c>
      <c r="H11" s="404">
        <f t="shared" si="0"/>
        <v>888.6</v>
      </c>
      <c r="I11" s="404">
        <f t="shared" si="0"/>
        <v>888.6</v>
      </c>
    </row>
    <row r="12" spans="1:9" ht="31.5">
      <c r="A12" s="171" t="s">
        <v>116</v>
      </c>
      <c r="B12" s="402">
        <v>1</v>
      </c>
      <c r="C12" s="404">
        <v>12110</v>
      </c>
      <c r="D12" s="404">
        <f>C12*0.2*2.7</f>
        <v>6539.400000000001</v>
      </c>
      <c r="E12" s="404">
        <f>D12*0.302</f>
        <v>1974.8988000000002</v>
      </c>
      <c r="F12" s="404">
        <f>D12+E12</f>
        <v>8514.2988</v>
      </c>
      <c r="G12" s="404">
        <v>102.2</v>
      </c>
      <c r="H12" s="404">
        <f t="shared" si="0"/>
        <v>102.2</v>
      </c>
      <c r="I12" s="404">
        <f t="shared" si="0"/>
        <v>102.2</v>
      </c>
    </row>
    <row r="13" spans="1:9" ht="15.75">
      <c r="A13" s="401" t="s">
        <v>12</v>
      </c>
      <c r="B13" s="402">
        <f>B8+B9+B10+B11+B12</f>
        <v>17</v>
      </c>
      <c r="C13" s="404">
        <f aca="true" t="shared" si="1" ref="C13:I13">+C8+C9+C10+C11+C12</f>
        <v>226645</v>
      </c>
      <c r="D13" s="404">
        <f t="shared" si="1"/>
        <v>113806.9</v>
      </c>
      <c r="E13" s="404">
        <f t="shared" si="1"/>
        <v>34369.6838</v>
      </c>
      <c r="F13" s="404">
        <f t="shared" si="1"/>
        <v>148176.5838</v>
      </c>
      <c r="G13" s="405">
        <f t="shared" si="1"/>
        <v>1778.1000000000001</v>
      </c>
      <c r="H13" s="405">
        <f t="shared" si="1"/>
        <v>1778.1000000000001</v>
      </c>
      <c r="I13" s="405">
        <f t="shared" si="1"/>
        <v>1778.1000000000001</v>
      </c>
    </row>
  </sheetData>
  <sheetProtection/>
  <mergeCells count="11">
    <mergeCell ref="A1:I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:I2"/>
  </mergeCells>
  <printOptions/>
  <pageMargins left="0.39" right="0.33" top="0.75" bottom="0.75" header="0.3" footer="0.3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8.00390625" style="333" customWidth="1"/>
    <col min="2" max="2" width="9.625" style="334" hidden="1" customWidth="1"/>
    <col min="3" max="3" width="17.875" style="334" customWidth="1"/>
    <col min="4" max="4" width="12.00390625" style="334" customWidth="1"/>
    <col min="5" max="5" width="17.625" style="334" customWidth="1"/>
    <col min="6" max="6" width="16.375" style="334" customWidth="1"/>
    <col min="7" max="7" width="18.875" style="334" customWidth="1"/>
    <col min="8" max="8" width="17.75390625" style="334" customWidth="1"/>
    <col min="9" max="9" width="17.375" style="334" customWidth="1"/>
    <col min="10" max="10" width="16.75390625" style="334" customWidth="1"/>
    <col min="11" max="11" width="18.25390625" style="334" customWidth="1"/>
    <col min="12" max="12" width="16.125" style="334" customWidth="1"/>
    <col min="13" max="13" width="29.00390625" style="333" hidden="1" customWidth="1"/>
    <col min="14" max="14" width="9.375" style="333" bestFit="1" customWidth="1"/>
    <col min="15" max="16384" width="9.125" style="333" customWidth="1"/>
  </cols>
  <sheetData>
    <row r="1" spans="1:13" ht="52.5" customHeight="1">
      <c r="A1" s="582" t="s">
        <v>410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2" ht="15.75">
      <c r="L2" s="352" t="s">
        <v>411</v>
      </c>
    </row>
    <row r="3" spans="1:13" s="274" customFormat="1" ht="47.25">
      <c r="A3" s="351" t="s">
        <v>3</v>
      </c>
      <c r="B3" s="351"/>
      <c r="C3" s="351" t="s">
        <v>412</v>
      </c>
      <c r="D3" s="351" t="s">
        <v>10</v>
      </c>
      <c r="E3" s="351" t="s">
        <v>113</v>
      </c>
      <c r="F3" s="351" t="s">
        <v>413</v>
      </c>
      <c r="G3" s="351" t="s">
        <v>116</v>
      </c>
      <c r="H3" s="351" t="s">
        <v>112</v>
      </c>
      <c r="I3" s="351" t="s">
        <v>414</v>
      </c>
      <c r="J3" s="351" t="s">
        <v>415</v>
      </c>
      <c r="K3" s="351" t="s">
        <v>416</v>
      </c>
      <c r="L3" s="351" t="s">
        <v>120</v>
      </c>
      <c r="M3" s="216" t="s">
        <v>417</v>
      </c>
    </row>
    <row r="4" spans="1:13" ht="29.25" customHeight="1">
      <c r="A4" s="336" t="s">
        <v>418</v>
      </c>
      <c r="B4" s="337"/>
      <c r="C4" s="338">
        <f>SUM(D4:L4)</f>
        <v>10</v>
      </c>
      <c r="D4" s="338">
        <v>2</v>
      </c>
      <c r="E4" s="338">
        <v>1</v>
      </c>
      <c r="F4" s="338">
        <v>1</v>
      </c>
      <c r="G4" s="338">
        <v>1</v>
      </c>
      <c r="H4" s="338">
        <v>1</v>
      </c>
      <c r="I4" s="338">
        <v>1</v>
      </c>
      <c r="J4" s="338">
        <v>1</v>
      </c>
      <c r="K4" s="338">
        <v>1</v>
      </c>
      <c r="L4" s="338">
        <v>1</v>
      </c>
      <c r="M4" s="339"/>
    </row>
    <row r="5" spans="1:13" ht="49.5" customHeight="1">
      <c r="A5" s="340" t="s">
        <v>419</v>
      </c>
      <c r="B5" s="335"/>
      <c r="C5" s="338">
        <v>0</v>
      </c>
      <c r="D5" s="341">
        <f>5.325</f>
        <v>5.325</v>
      </c>
      <c r="E5" s="341">
        <f>5.325</f>
        <v>5.325</v>
      </c>
      <c r="F5" s="341">
        <f>5.321</f>
        <v>5.321</v>
      </c>
      <c r="G5" s="341">
        <f>5.51</f>
        <v>5.51</v>
      </c>
      <c r="H5" s="341">
        <f>5.196</f>
        <v>5.196</v>
      </c>
      <c r="I5" s="341">
        <f>5.325</f>
        <v>5.325</v>
      </c>
      <c r="J5" s="341">
        <f>5.322</f>
        <v>5.322</v>
      </c>
      <c r="K5" s="341">
        <f>5.325</f>
        <v>5.325</v>
      </c>
      <c r="L5" s="341">
        <f>5.319</f>
        <v>5.319</v>
      </c>
      <c r="M5" s="339"/>
    </row>
    <row r="6" spans="1:13" ht="60" customHeight="1">
      <c r="A6" s="340" t="s">
        <v>420</v>
      </c>
      <c r="B6" s="335"/>
      <c r="C6" s="338">
        <v>0</v>
      </c>
      <c r="D6" s="341">
        <v>56.329</v>
      </c>
      <c r="E6" s="341">
        <v>59.901</v>
      </c>
      <c r="F6" s="341">
        <v>57.8</v>
      </c>
      <c r="G6" s="341">
        <v>56.463</v>
      </c>
      <c r="H6" s="341">
        <v>56</v>
      </c>
      <c r="I6" s="341">
        <v>55.737</v>
      </c>
      <c r="J6" s="341">
        <v>56</v>
      </c>
      <c r="K6" s="341">
        <v>54.279</v>
      </c>
      <c r="L6" s="341">
        <v>61.999</v>
      </c>
      <c r="M6" s="339"/>
    </row>
    <row r="7" spans="1:13" ht="69" customHeight="1">
      <c r="A7" s="340" t="s">
        <v>421</v>
      </c>
      <c r="B7" s="335"/>
      <c r="C7" s="338">
        <v>0</v>
      </c>
      <c r="D7" s="341">
        <v>2.5</v>
      </c>
      <c r="E7" s="341">
        <v>2.5</v>
      </c>
      <c r="F7" s="341">
        <v>2.5</v>
      </c>
      <c r="G7" s="341">
        <v>2.7</v>
      </c>
      <c r="H7" s="341">
        <v>2.5</v>
      </c>
      <c r="I7" s="341">
        <v>2.5</v>
      </c>
      <c r="J7" s="341">
        <v>2.5</v>
      </c>
      <c r="K7" s="341">
        <v>2.5</v>
      </c>
      <c r="L7" s="341">
        <v>2.5</v>
      </c>
      <c r="M7" s="342">
        <v>1.192</v>
      </c>
    </row>
    <row r="8" spans="1:13" ht="95.25" customHeight="1">
      <c r="A8" s="340" t="s">
        <v>422</v>
      </c>
      <c r="B8" s="335"/>
      <c r="C8" s="338"/>
      <c r="D8" s="343">
        <v>0.275</v>
      </c>
      <c r="E8" s="343">
        <v>0.275</v>
      </c>
      <c r="F8" s="343">
        <v>0.275</v>
      </c>
      <c r="G8" s="343">
        <v>0.275</v>
      </c>
      <c r="H8" s="343">
        <v>0.275</v>
      </c>
      <c r="I8" s="343">
        <v>0.275</v>
      </c>
      <c r="J8" s="343">
        <v>0.275</v>
      </c>
      <c r="K8" s="343">
        <v>0.275</v>
      </c>
      <c r="L8" s="343">
        <v>0.275</v>
      </c>
      <c r="M8" s="339"/>
    </row>
    <row r="9" spans="1:14" ht="48.75" customHeight="1">
      <c r="A9" s="340" t="s">
        <v>423</v>
      </c>
      <c r="B9" s="335"/>
      <c r="C9" s="338">
        <f aca="true" t="shared" si="0" ref="C9:C17">SUM(D9:L9)</f>
        <v>0</v>
      </c>
      <c r="D9" s="344"/>
      <c r="E9" s="344"/>
      <c r="F9" s="344"/>
      <c r="G9" s="344"/>
      <c r="H9" s="344"/>
      <c r="I9" s="344"/>
      <c r="J9" s="344"/>
      <c r="K9" s="344"/>
      <c r="L9" s="344"/>
      <c r="M9" s="345">
        <v>21.4</v>
      </c>
      <c r="N9" s="346"/>
    </row>
    <row r="10" spans="1:14" ht="34.5" customHeight="1">
      <c r="A10" s="340" t="s">
        <v>424</v>
      </c>
      <c r="B10" s="335"/>
      <c r="C10" s="338">
        <f t="shared" si="0"/>
        <v>122</v>
      </c>
      <c r="D10" s="344">
        <v>26</v>
      </c>
      <c r="E10" s="344">
        <v>12</v>
      </c>
      <c r="F10" s="344">
        <v>12</v>
      </c>
      <c r="G10" s="344">
        <v>12</v>
      </c>
      <c r="H10" s="344">
        <v>12</v>
      </c>
      <c r="I10" s="344">
        <v>12</v>
      </c>
      <c r="J10" s="344">
        <v>12</v>
      </c>
      <c r="K10" s="344">
        <v>12</v>
      </c>
      <c r="L10" s="344">
        <v>12</v>
      </c>
      <c r="M10" s="347">
        <f>2.88*1.04</f>
        <v>2.9952</v>
      </c>
      <c r="N10" s="346"/>
    </row>
    <row r="11" spans="1:14" ht="63.75" customHeight="1">
      <c r="A11" s="340" t="s">
        <v>425</v>
      </c>
      <c r="B11" s="335"/>
      <c r="C11" s="338">
        <f t="shared" si="0"/>
        <v>352.09999999999997</v>
      </c>
      <c r="D11" s="344">
        <v>57.3</v>
      </c>
      <c r="E11" s="344">
        <v>36.8</v>
      </c>
      <c r="F11" s="344">
        <v>36.9</v>
      </c>
      <c r="G11" s="344">
        <v>36.8</v>
      </c>
      <c r="H11" s="344">
        <v>36.8</v>
      </c>
      <c r="I11" s="344">
        <v>36.9</v>
      </c>
      <c r="J11" s="344">
        <v>36.8</v>
      </c>
      <c r="K11" s="344">
        <v>36.9</v>
      </c>
      <c r="L11" s="344">
        <v>36.9</v>
      </c>
      <c r="M11" s="275">
        <f>(350*12+200*12*15)/1000</f>
        <v>40.2</v>
      </c>
      <c r="N11" s="346"/>
    </row>
    <row r="12" spans="1:14" ht="33.75" customHeight="1">
      <c r="A12" s="340" t="s">
        <v>426</v>
      </c>
      <c r="B12" s="335"/>
      <c r="C12" s="338">
        <f t="shared" si="0"/>
        <v>302.4</v>
      </c>
      <c r="D12" s="344">
        <v>112.6</v>
      </c>
      <c r="E12" s="344">
        <v>181.3</v>
      </c>
      <c r="F12" s="344">
        <v>0</v>
      </c>
      <c r="G12" s="344">
        <v>0</v>
      </c>
      <c r="H12" s="344">
        <v>5</v>
      </c>
      <c r="I12" s="344">
        <v>0</v>
      </c>
      <c r="J12" s="344">
        <v>0</v>
      </c>
      <c r="K12" s="344">
        <v>1</v>
      </c>
      <c r="L12" s="344">
        <v>2.5</v>
      </c>
      <c r="M12" s="345">
        <v>6.2</v>
      </c>
      <c r="N12" s="346"/>
    </row>
    <row r="13" spans="1:14" ht="47.25" customHeight="1">
      <c r="A13" s="340" t="s">
        <v>427</v>
      </c>
      <c r="B13" s="335"/>
      <c r="C13" s="338">
        <f t="shared" si="0"/>
        <v>416.3</v>
      </c>
      <c r="D13" s="344">
        <v>177.5</v>
      </c>
      <c r="E13" s="344">
        <v>31</v>
      </c>
      <c r="F13" s="344">
        <v>31.8</v>
      </c>
      <c r="G13" s="344">
        <v>25.3</v>
      </c>
      <c r="H13" s="344">
        <v>20.8</v>
      </c>
      <c r="I13" s="344">
        <v>32.3</v>
      </c>
      <c r="J13" s="344">
        <v>27.5</v>
      </c>
      <c r="K13" s="344">
        <v>32.9</v>
      </c>
      <c r="L13" s="344">
        <v>37.2</v>
      </c>
      <c r="M13" s="275">
        <f>(6600+6000+2280+2500+160+900+600)/1000</f>
        <v>19.04</v>
      </c>
      <c r="N13" s="346"/>
    </row>
    <row r="14" spans="1:14" ht="64.5" customHeight="1">
      <c r="A14" s="220" t="s">
        <v>428</v>
      </c>
      <c r="B14" s="335"/>
      <c r="C14" s="338">
        <f t="shared" si="0"/>
        <v>345.2</v>
      </c>
      <c r="D14" s="344">
        <v>70</v>
      </c>
      <c r="E14" s="344">
        <v>0</v>
      </c>
      <c r="F14" s="344">
        <v>45.2</v>
      </c>
      <c r="G14" s="344">
        <v>0</v>
      </c>
      <c r="H14" s="344">
        <v>80</v>
      </c>
      <c r="I14" s="344">
        <v>0</v>
      </c>
      <c r="J14" s="344">
        <v>60</v>
      </c>
      <c r="K14" s="344">
        <v>35</v>
      </c>
      <c r="L14" s="344">
        <v>55</v>
      </c>
      <c r="M14" s="348"/>
      <c r="N14" s="346"/>
    </row>
    <row r="15" spans="1:14" ht="25.5" customHeight="1">
      <c r="A15" s="335" t="s">
        <v>429</v>
      </c>
      <c r="B15" s="335"/>
      <c r="C15" s="338">
        <f t="shared" si="0"/>
        <v>11314.2</v>
      </c>
      <c r="D15" s="349">
        <v>2355.5</v>
      </c>
      <c r="E15" s="349">
        <v>1277.8</v>
      </c>
      <c r="F15" s="349">
        <v>1106.2</v>
      </c>
      <c r="G15" s="349">
        <v>1145.1</v>
      </c>
      <c r="H15" s="349">
        <v>1082.1</v>
      </c>
      <c r="I15" s="349">
        <v>1027.3</v>
      </c>
      <c r="J15" s="349">
        <v>1086.3</v>
      </c>
      <c r="K15" s="349">
        <v>1039.1</v>
      </c>
      <c r="L15" s="349">
        <v>1194.8</v>
      </c>
      <c r="M15" s="348"/>
      <c r="N15" s="346"/>
    </row>
    <row r="16" spans="1:13" ht="24.75" customHeight="1">
      <c r="A16" s="335" t="s">
        <v>430</v>
      </c>
      <c r="B16" s="335"/>
      <c r="C16" s="338">
        <f t="shared" si="0"/>
        <v>11314.2</v>
      </c>
      <c r="D16" s="349">
        <v>2355.5</v>
      </c>
      <c r="E16" s="349">
        <v>1277.8</v>
      </c>
      <c r="F16" s="349">
        <v>1106.2</v>
      </c>
      <c r="G16" s="349">
        <v>1145.1</v>
      </c>
      <c r="H16" s="349">
        <v>1082.1</v>
      </c>
      <c r="I16" s="349">
        <v>1027.3</v>
      </c>
      <c r="J16" s="349">
        <v>1086.3</v>
      </c>
      <c r="K16" s="349">
        <v>1039.1</v>
      </c>
      <c r="L16" s="349">
        <v>1194.8</v>
      </c>
      <c r="M16" s="350"/>
    </row>
    <row r="17" spans="1:12" ht="26.25" customHeight="1">
      <c r="A17" s="335" t="s">
        <v>431</v>
      </c>
      <c r="B17" s="335"/>
      <c r="C17" s="338">
        <f t="shared" si="0"/>
        <v>11314.2</v>
      </c>
      <c r="D17" s="349">
        <v>2355.5</v>
      </c>
      <c r="E17" s="349">
        <v>1277.8</v>
      </c>
      <c r="F17" s="349">
        <v>1106.2</v>
      </c>
      <c r="G17" s="349">
        <v>1145.1</v>
      </c>
      <c r="H17" s="349">
        <v>1082.1</v>
      </c>
      <c r="I17" s="349">
        <v>1027.3</v>
      </c>
      <c r="J17" s="349">
        <v>1086.3</v>
      </c>
      <c r="K17" s="349">
        <v>1039.1</v>
      </c>
      <c r="L17" s="349">
        <v>1194.8</v>
      </c>
    </row>
    <row r="18" spans="3:12" ht="15.75">
      <c r="C18" s="353"/>
      <c r="D18" s="353"/>
      <c r="E18" s="353"/>
      <c r="F18" s="353"/>
      <c r="G18" s="353"/>
      <c r="H18" s="353"/>
      <c r="I18" s="353"/>
      <c r="J18" s="353"/>
      <c r="K18" s="353"/>
      <c r="L18" s="353"/>
    </row>
  </sheetData>
  <sheetProtection/>
  <mergeCells count="1">
    <mergeCell ref="A1:M1"/>
  </mergeCells>
  <printOptions/>
  <pageMargins left="0.36" right="0.33" top="0.75" bottom="0.49" header="0.3" footer="0.3"/>
  <pageSetup fitToHeight="1" fitToWidth="1" horizontalDpi="600" verticalDpi="600" orientation="landscape" paperSize="9" scale="6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9.75390625" style="355" customWidth="1"/>
    <col min="2" max="2" width="22.25390625" style="355" customWidth="1"/>
    <col min="3" max="3" width="23.75390625" style="355" customWidth="1"/>
    <col min="4" max="4" width="22.75390625" style="355" customWidth="1"/>
    <col min="5" max="5" width="21.125" style="355" customWidth="1"/>
    <col min="6" max="6" width="18.00390625" style="355" customWidth="1"/>
    <col min="7" max="7" width="19.25390625" style="355" customWidth="1"/>
    <col min="8" max="16384" width="9.125" style="355" customWidth="1"/>
  </cols>
  <sheetData>
    <row r="1" spans="1:7" ht="15.75">
      <c r="A1" s="583" t="s">
        <v>107</v>
      </c>
      <c r="B1" s="583"/>
      <c r="C1" s="583"/>
      <c r="D1" s="583"/>
      <c r="E1" s="583"/>
      <c r="F1" s="583"/>
      <c r="G1" s="583"/>
    </row>
    <row r="2" spans="1:7" ht="50.25" customHeight="1">
      <c r="A2" s="584" t="s">
        <v>432</v>
      </c>
      <c r="B2" s="584"/>
      <c r="C2" s="584"/>
      <c r="D2" s="584"/>
      <c r="E2" s="584"/>
      <c r="F2" s="584"/>
      <c r="G2" s="584"/>
    </row>
    <row r="3" spans="1:5" ht="15.75">
      <c r="A3" s="585"/>
      <c r="B3" s="585"/>
      <c r="C3" s="585"/>
      <c r="D3" s="585"/>
      <c r="E3" s="585"/>
    </row>
    <row r="4" spans="1:7" s="354" customFormat="1" ht="252" customHeight="1">
      <c r="A4" s="356" t="s">
        <v>433</v>
      </c>
      <c r="B4" s="356" t="s">
        <v>434</v>
      </c>
      <c r="C4" s="356" t="s">
        <v>435</v>
      </c>
      <c r="D4" s="356" t="s">
        <v>436</v>
      </c>
      <c r="E4" s="356" t="s">
        <v>437</v>
      </c>
      <c r="F4" s="356" t="s">
        <v>438</v>
      </c>
      <c r="G4" s="356" t="s">
        <v>439</v>
      </c>
    </row>
    <row r="5" spans="1:7" ht="26.25" customHeight="1">
      <c r="A5" s="357" t="s">
        <v>406</v>
      </c>
      <c r="B5" s="358">
        <v>190</v>
      </c>
      <c r="C5" s="358">
        <v>207</v>
      </c>
      <c r="D5" s="359">
        <v>1000000</v>
      </c>
      <c r="E5" s="360">
        <f>B5/C5*D5/1000</f>
        <v>917.8743961352657</v>
      </c>
      <c r="F5" s="360">
        <v>917.8743961352657</v>
      </c>
      <c r="G5" s="360">
        <v>917.8743961352657</v>
      </c>
    </row>
    <row r="6" spans="1:7" ht="22.5" customHeight="1">
      <c r="A6" s="361" t="s">
        <v>113</v>
      </c>
      <c r="B6" s="358">
        <v>11</v>
      </c>
      <c r="C6" s="358">
        <v>207</v>
      </c>
      <c r="D6" s="359">
        <v>1000000</v>
      </c>
      <c r="E6" s="360">
        <f>B6/C6*D6/1000</f>
        <v>53.14009661835748</v>
      </c>
      <c r="F6" s="360">
        <v>53.14009661835748</v>
      </c>
      <c r="G6" s="360">
        <v>53.14009661835748</v>
      </c>
    </row>
    <row r="7" spans="1:7" ht="30" customHeight="1">
      <c r="A7" s="361" t="s">
        <v>116</v>
      </c>
      <c r="B7" s="358">
        <v>1</v>
      </c>
      <c r="C7" s="358">
        <v>207</v>
      </c>
      <c r="D7" s="359">
        <v>1000000</v>
      </c>
      <c r="E7" s="360">
        <f>B7/C7*D7/1000</f>
        <v>4.8309178743961345</v>
      </c>
      <c r="F7" s="360">
        <v>4.8309178743961345</v>
      </c>
      <c r="G7" s="360">
        <v>4.8309178743961345</v>
      </c>
    </row>
    <row r="8" spans="1:7" ht="23.25" customHeight="1">
      <c r="A8" s="361" t="s">
        <v>119</v>
      </c>
      <c r="B8" s="358">
        <v>5</v>
      </c>
      <c r="C8" s="358">
        <v>207</v>
      </c>
      <c r="D8" s="359">
        <v>1000000</v>
      </c>
      <c r="E8" s="360">
        <f>B8/C8*D8/1000</f>
        <v>24.154589371980677</v>
      </c>
      <c r="F8" s="360">
        <v>24.154589371980677</v>
      </c>
      <c r="G8" s="360">
        <v>24.154589371980677</v>
      </c>
    </row>
    <row r="9" spans="1:7" ht="15.75">
      <c r="A9" s="362" t="s">
        <v>33</v>
      </c>
      <c r="B9" s="358">
        <f>SUM(B5:B8)</f>
        <v>207</v>
      </c>
      <c r="C9" s="358"/>
      <c r="D9" s="358"/>
      <c r="E9" s="363">
        <f>SUM(E5:E8)</f>
        <v>1000</v>
      </c>
      <c r="F9" s="363">
        <f>SUM(F5:F8)</f>
        <v>1000</v>
      </c>
      <c r="G9" s="363">
        <f>SUM(G5:G8)</f>
        <v>1000</v>
      </c>
    </row>
  </sheetData>
  <sheetProtection/>
  <mergeCells count="3">
    <mergeCell ref="A1:G1"/>
    <mergeCell ref="A2:G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2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4.375" style="372" customWidth="1"/>
    <col min="2" max="2" width="11.375" style="372" hidden="1" customWidth="1"/>
    <col min="3" max="3" width="9.75390625" style="372" hidden="1" customWidth="1"/>
    <col min="4" max="4" width="9.00390625" style="372" hidden="1" customWidth="1"/>
    <col min="5" max="5" width="15.75390625" style="11" customWidth="1"/>
    <col min="6" max="6" width="19.00390625" style="11" customWidth="1"/>
    <col min="7" max="40" width="0" style="11" hidden="1" customWidth="1"/>
    <col min="41" max="41" width="15.75390625" style="11" customWidth="1"/>
    <col min="42" max="42" width="16.125" style="11" customWidth="1"/>
    <col min="43" max="43" width="13.00390625" style="384" customWidth="1"/>
    <col min="44" max="44" width="12.625" style="11" customWidth="1"/>
    <col min="45" max="45" width="12.125" style="11" customWidth="1"/>
    <col min="46" max="46" width="12.625" style="11" customWidth="1"/>
    <col min="47" max="16384" width="9.125" style="11" customWidth="1"/>
  </cols>
  <sheetData>
    <row r="1" spans="1:46" ht="15.75">
      <c r="A1" s="587" t="s">
        <v>107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  <c r="AO1" s="587"/>
      <c r="AP1" s="587"/>
      <c r="AQ1" s="587"/>
      <c r="AR1" s="587"/>
      <c r="AS1" s="587"/>
      <c r="AT1" s="587"/>
    </row>
    <row r="2" spans="1:46" ht="23.25" customHeight="1">
      <c r="A2" s="586" t="s">
        <v>487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6"/>
      <c r="AO2" s="586"/>
      <c r="AP2" s="586"/>
      <c r="AQ2" s="586"/>
      <c r="AR2" s="586"/>
      <c r="AS2" s="586"/>
      <c r="AT2" s="586"/>
    </row>
    <row r="3" spans="1:44" ht="15.7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5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7"/>
      <c r="AP3" s="377"/>
      <c r="AQ3" s="378"/>
      <c r="AR3" s="377"/>
    </row>
    <row r="4" spans="1:46" s="311" customFormat="1" ht="170.25" customHeight="1">
      <c r="A4" s="380" t="s">
        <v>486</v>
      </c>
      <c r="B4" s="379" t="s">
        <v>444</v>
      </c>
      <c r="C4" s="379" t="s">
        <v>445</v>
      </c>
      <c r="D4" s="379" t="s">
        <v>446</v>
      </c>
      <c r="E4" s="366" t="s">
        <v>440</v>
      </c>
      <c r="F4" s="366" t="s">
        <v>441</v>
      </c>
      <c r="G4" s="380" t="s">
        <v>447</v>
      </c>
      <c r="H4" s="380" t="s">
        <v>448</v>
      </c>
      <c r="I4" s="380" t="s">
        <v>449</v>
      </c>
      <c r="J4" s="380" t="s">
        <v>450</v>
      </c>
      <c r="K4" s="380" t="s">
        <v>451</v>
      </c>
      <c r="L4" s="380" t="s">
        <v>452</v>
      </c>
      <c r="M4" s="380" t="s">
        <v>453</v>
      </c>
      <c r="N4" s="380" t="s">
        <v>454</v>
      </c>
      <c r="O4" s="380" t="s">
        <v>455</v>
      </c>
      <c r="P4" s="380" t="s">
        <v>456</v>
      </c>
      <c r="Q4" s="380" t="s">
        <v>457</v>
      </c>
      <c r="R4" s="380" t="s">
        <v>458</v>
      </c>
      <c r="S4" s="380" t="s">
        <v>459</v>
      </c>
      <c r="T4" s="380" t="s">
        <v>460</v>
      </c>
      <c r="U4" s="380" t="s">
        <v>461</v>
      </c>
      <c r="V4" s="380" t="s">
        <v>462</v>
      </c>
      <c r="W4" s="380" t="s">
        <v>463</v>
      </c>
      <c r="X4" s="380" t="s">
        <v>464</v>
      </c>
      <c r="Y4" s="380" t="s">
        <v>465</v>
      </c>
      <c r="Z4" s="380" t="s">
        <v>466</v>
      </c>
      <c r="AA4" s="380" t="s">
        <v>467</v>
      </c>
      <c r="AB4" s="380" t="s">
        <v>468</v>
      </c>
      <c r="AC4" s="380" t="s">
        <v>469</v>
      </c>
      <c r="AD4" s="380" t="s">
        <v>470</v>
      </c>
      <c r="AE4" s="380" t="s">
        <v>471</v>
      </c>
      <c r="AF4" s="380" t="s">
        <v>472</v>
      </c>
      <c r="AG4" s="380" t="s">
        <v>473</v>
      </c>
      <c r="AH4" s="380" t="s">
        <v>474</v>
      </c>
      <c r="AI4" s="380" t="s">
        <v>475</v>
      </c>
      <c r="AJ4" s="380" t="s">
        <v>476</v>
      </c>
      <c r="AK4" s="380" t="s">
        <v>477</v>
      </c>
      <c r="AL4" s="380" t="s">
        <v>478</v>
      </c>
      <c r="AM4" s="380" t="s">
        <v>479</v>
      </c>
      <c r="AN4" s="380" t="s">
        <v>480</v>
      </c>
      <c r="AO4" s="364" t="s">
        <v>481</v>
      </c>
      <c r="AP4" s="364" t="s">
        <v>482</v>
      </c>
      <c r="AQ4" s="365" t="s">
        <v>483</v>
      </c>
      <c r="AR4" s="366" t="s">
        <v>484</v>
      </c>
      <c r="AS4" s="366" t="s">
        <v>442</v>
      </c>
      <c r="AT4" s="366" t="s">
        <v>485</v>
      </c>
    </row>
    <row r="5" spans="1:46" ht="18" customHeight="1">
      <c r="A5" s="367" t="s">
        <v>10</v>
      </c>
      <c r="B5" s="370">
        <f>(C5+D5)/2</f>
        <v>6.855568120227032</v>
      </c>
      <c r="C5" s="371">
        <f>(G5*X5+H5*Y5+I5*Z5+J5*AA5+K5*AB5+L5*AC5+M5*AD5)/E5</f>
        <v>8.860111003861004</v>
      </c>
      <c r="D5" s="371">
        <f>(N5*AE5+O5*AF5+P5*AG5+Q5*AH5+R5*AI5+S5*AJ5+T5*AK5+U5*AL5+V5*AM5+W5*AN5)/F5</f>
        <v>4.85102523659306</v>
      </c>
      <c r="E5" s="381">
        <v>4144</v>
      </c>
      <c r="F5" s="381">
        <v>9510</v>
      </c>
      <c r="G5" s="381">
        <v>1377</v>
      </c>
      <c r="H5" s="381">
        <v>1056</v>
      </c>
      <c r="I5" s="381">
        <v>731</v>
      </c>
      <c r="J5" s="381">
        <v>34</v>
      </c>
      <c r="K5" s="381">
        <v>358</v>
      </c>
      <c r="L5" s="381">
        <v>89</v>
      </c>
      <c r="M5" s="381">
        <v>1255</v>
      </c>
      <c r="N5" s="381">
        <v>192</v>
      </c>
      <c r="O5" s="381">
        <v>612</v>
      </c>
      <c r="P5" s="381">
        <v>0</v>
      </c>
      <c r="Q5" s="381">
        <v>1967</v>
      </c>
      <c r="R5" s="381">
        <v>5335</v>
      </c>
      <c r="S5" s="381">
        <v>121</v>
      </c>
      <c r="T5" s="381">
        <v>264</v>
      </c>
      <c r="U5" s="381">
        <v>0</v>
      </c>
      <c r="V5" s="381">
        <v>0</v>
      </c>
      <c r="W5" s="381">
        <v>937</v>
      </c>
      <c r="X5" s="381">
        <v>6.75</v>
      </c>
      <c r="Y5" s="381">
        <v>9.05</v>
      </c>
      <c r="Z5" s="381">
        <v>7.5</v>
      </c>
      <c r="AA5" s="381">
        <v>7.25</v>
      </c>
      <c r="AB5" s="381">
        <v>7.75</v>
      </c>
      <c r="AC5" s="381">
        <v>10</v>
      </c>
      <c r="AD5" s="381">
        <v>6.75</v>
      </c>
      <c r="AE5" s="381">
        <v>9</v>
      </c>
      <c r="AF5" s="381">
        <v>6</v>
      </c>
      <c r="AG5" s="381">
        <v>2</v>
      </c>
      <c r="AH5" s="381">
        <v>5.5</v>
      </c>
      <c r="AI5" s="381">
        <v>5</v>
      </c>
      <c r="AJ5" s="381">
        <v>4.25</v>
      </c>
      <c r="AK5" s="381">
        <v>5</v>
      </c>
      <c r="AL5" s="381">
        <v>3.5</v>
      </c>
      <c r="AM5" s="381">
        <v>3</v>
      </c>
      <c r="AN5" s="381">
        <v>1.5</v>
      </c>
      <c r="AO5" s="381">
        <f aca="true" t="shared" si="0" ref="AO5:AO13">SUM(E5:F5)</f>
        <v>13654</v>
      </c>
      <c r="AP5" s="382">
        <v>6.1</v>
      </c>
      <c r="AQ5" s="382">
        <v>155.1</v>
      </c>
      <c r="AR5" s="393">
        <v>12922.1</v>
      </c>
      <c r="AS5" s="299">
        <v>13370.8</v>
      </c>
      <c r="AT5" s="299">
        <v>9025.1</v>
      </c>
    </row>
    <row r="6" spans="1:46" ht="18" customHeight="1">
      <c r="A6" s="367" t="s">
        <v>113</v>
      </c>
      <c r="B6" s="370">
        <f aca="true" t="shared" si="1" ref="B6:B13">(C6+D6)/2</f>
        <v>6.089031370390754</v>
      </c>
      <c r="C6" s="371">
        <f aca="true" t="shared" si="2" ref="C6:C13">(G6*X6+H6*Y6+I6*Z6+J6*AA6+K6*AB6+L6*AC6+M6*AD6)/E6</f>
        <v>6.229367088607595</v>
      </c>
      <c r="D6" s="371">
        <f aca="true" t="shared" si="3" ref="D6:D13">(N6*AE6+O6*AF6+P6*AG6+Q6*AH6+R6*AI6+S6*AJ6+T6*AK6+U6*AL6+V6*AM6+W6*AN6)/F6</f>
        <v>5.948695652173913</v>
      </c>
      <c r="E6" s="381">
        <v>395</v>
      </c>
      <c r="F6" s="381">
        <v>1150</v>
      </c>
      <c r="G6" s="381">
        <v>55</v>
      </c>
      <c r="H6" s="381">
        <v>57</v>
      </c>
      <c r="I6" s="381">
        <v>54</v>
      </c>
      <c r="J6" s="381">
        <v>4</v>
      </c>
      <c r="K6" s="381">
        <v>20</v>
      </c>
      <c r="L6" s="381">
        <v>8</v>
      </c>
      <c r="M6" s="381">
        <v>134</v>
      </c>
      <c r="N6" s="381">
        <v>28</v>
      </c>
      <c r="O6" s="381">
        <v>204</v>
      </c>
      <c r="P6" s="381">
        <v>0</v>
      </c>
      <c r="Q6" s="381">
        <v>271</v>
      </c>
      <c r="R6" s="381">
        <v>667</v>
      </c>
      <c r="S6" s="381">
        <v>14</v>
      </c>
      <c r="T6" s="381">
        <v>27</v>
      </c>
      <c r="U6" s="381">
        <v>0</v>
      </c>
      <c r="V6" s="381">
        <v>0</v>
      </c>
      <c r="W6" s="381">
        <v>230</v>
      </c>
      <c r="X6" s="381">
        <v>6.75</v>
      </c>
      <c r="Y6" s="381">
        <v>9.05</v>
      </c>
      <c r="Z6" s="381">
        <v>7.5</v>
      </c>
      <c r="AA6" s="381">
        <v>7.25</v>
      </c>
      <c r="AB6" s="381">
        <v>7.75</v>
      </c>
      <c r="AC6" s="381">
        <v>10</v>
      </c>
      <c r="AD6" s="381">
        <v>6.75</v>
      </c>
      <c r="AE6" s="381">
        <v>9</v>
      </c>
      <c r="AF6" s="381">
        <v>6</v>
      </c>
      <c r="AG6" s="381">
        <v>2</v>
      </c>
      <c r="AH6" s="381">
        <v>5.5</v>
      </c>
      <c r="AI6" s="381">
        <v>5</v>
      </c>
      <c r="AJ6" s="381">
        <v>4.25</v>
      </c>
      <c r="AK6" s="381">
        <v>5</v>
      </c>
      <c r="AL6" s="381">
        <v>3.5</v>
      </c>
      <c r="AM6" s="381">
        <v>3</v>
      </c>
      <c r="AN6" s="381">
        <v>1.5</v>
      </c>
      <c r="AO6" s="381">
        <f t="shared" si="0"/>
        <v>1545</v>
      </c>
      <c r="AP6" s="382">
        <v>6.26</v>
      </c>
      <c r="AQ6" s="382">
        <v>155.1</v>
      </c>
      <c r="AR6" s="393">
        <v>1500.1</v>
      </c>
      <c r="AS6" s="393">
        <v>1552.501284</v>
      </c>
      <c r="AT6" s="393">
        <v>1047.9286949999998</v>
      </c>
    </row>
    <row r="7" spans="1:46" ht="18" customHeight="1">
      <c r="A7" s="368" t="s">
        <v>109</v>
      </c>
      <c r="B7" s="370">
        <f t="shared" si="1"/>
        <v>8.524269991584625</v>
      </c>
      <c r="C7" s="371">
        <f t="shared" si="2"/>
        <v>10.313966480446927</v>
      </c>
      <c r="D7" s="371">
        <f t="shared" si="3"/>
        <v>6.7345735027223235</v>
      </c>
      <c r="E7" s="381">
        <v>179</v>
      </c>
      <c r="F7" s="381">
        <v>551</v>
      </c>
      <c r="G7" s="381">
        <v>58</v>
      </c>
      <c r="H7" s="381">
        <v>49</v>
      </c>
      <c r="I7" s="381">
        <v>35</v>
      </c>
      <c r="J7" s="381">
        <v>1</v>
      </c>
      <c r="K7" s="381">
        <v>17</v>
      </c>
      <c r="L7" s="381">
        <v>9</v>
      </c>
      <c r="M7" s="381">
        <v>77</v>
      </c>
      <c r="N7" s="381">
        <v>42</v>
      </c>
      <c r="O7" s="381">
        <v>35</v>
      </c>
      <c r="P7" s="381">
        <v>0</v>
      </c>
      <c r="Q7" s="381">
        <v>153</v>
      </c>
      <c r="R7" s="381">
        <v>386</v>
      </c>
      <c r="S7" s="381">
        <v>21</v>
      </c>
      <c r="T7" s="381">
        <v>23</v>
      </c>
      <c r="U7" s="381">
        <v>0</v>
      </c>
      <c r="V7" s="381">
        <v>0</v>
      </c>
      <c r="W7" s="381">
        <v>98</v>
      </c>
      <c r="X7" s="381">
        <v>6.75</v>
      </c>
      <c r="Y7" s="381">
        <v>9.05</v>
      </c>
      <c r="Z7" s="381">
        <v>7.5</v>
      </c>
      <c r="AA7" s="381">
        <v>7.25</v>
      </c>
      <c r="AB7" s="381">
        <v>7.75</v>
      </c>
      <c r="AC7" s="381">
        <v>10</v>
      </c>
      <c r="AD7" s="381">
        <v>6.75</v>
      </c>
      <c r="AE7" s="381">
        <v>9</v>
      </c>
      <c r="AF7" s="381">
        <v>6</v>
      </c>
      <c r="AG7" s="381">
        <v>2</v>
      </c>
      <c r="AH7" s="381">
        <v>5.5</v>
      </c>
      <c r="AI7" s="381">
        <v>5</v>
      </c>
      <c r="AJ7" s="381">
        <v>4.25</v>
      </c>
      <c r="AK7" s="381">
        <v>5</v>
      </c>
      <c r="AL7" s="381">
        <v>3.5</v>
      </c>
      <c r="AM7" s="381">
        <v>3</v>
      </c>
      <c r="AN7" s="381">
        <v>1.5</v>
      </c>
      <c r="AO7" s="381">
        <f t="shared" si="0"/>
        <v>730</v>
      </c>
      <c r="AP7" s="382">
        <v>6.13</v>
      </c>
      <c r="AQ7" s="382">
        <v>155.1</v>
      </c>
      <c r="AR7" s="393">
        <v>694.1</v>
      </c>
      <c r="AS7" s="393">
        <v>718.3109479999999</v>
      </c>
      <c r="AT7" s="393">
        <v>484.85541499999994</v>
      </c>
    </row>
    <row r="8" spans="1:46" ht="18" customHeight="1">
      <c r="A8" s="368" t="s">
        <v>443</v>
      </c>
      <c r="B8" s="370">
        <f t="shared" si="1"/>
        <v>10.23000365497076</v>
      </c>
      <c r="C8" s="371">
        <f t="shared" si="2"/>
        <v>13.373750000000001</v>
      </c>
      <c r="D8" s="371">
        <f t="shared" si="3"/>
        <v>7.08625730994152</v>
      </c>
      <c r="E8" s="381">
        <v>80</v>
      </c>
      <c r="F8" s="381">
        <v>342</v>
      </c>
      <c r="G8" s="381">
        <v>45</v>
      </c>
      <c r="H8" s="381">
        <v>23</v>
      </c>
      <c r="I8" s="381">
        <v>8</v>
      </c>
      <c r="J8" s="381">
        <v>3</v>
      </c>
      <c r="K8" s="381">
        <v>14</v>
      </c>
      <c r="L8" s="381">
        <v>1</v>
      </c>
      <c r="M8" s="381">
        <v>53</v>
      </c>
      <c r="N8" s="381">
        <v>12</v>
      </c>
      <c r="O8" s="381">
        <v>18</v>
      </c>
      <c r="P8" s="381">
        <v>0</v>
      </c>
      <c r="Q8" s="381">
        <v>119</v>
      </c>
      <c r="R8" s="381">
        <v>289</v>
      </c>
      <c r="S8" s="381">
        <v>0</v>
      </c>
      <c r="T8" s="381">
        <v>3</v>
      </c>
      <c r="U8" s="381">
        <v>0</v>
      </c>
      <c r="V8" s="381">
        <v>0</v>
      </c>
      <c r="W8" s="381">
        <v>62</v>
      </c>
      <c r="X8" s="381">
        <v>6.75</v>
      </c>
      <c r="Y8" s="381">
        <v>9.05</v>
      </c>
      <c r="Z8" s="381">
        <v>7.5</v>
      </c>
      <c r="AA8" s="381">
        <v>7.25</v>
      </c>
      <c r="AB8" s="381">
        <v>7.75</v>
      </c>
      <c r="AC8" s="381">
        <v>10</v>
      </c>
      <c r="AD8" s="381">
        <v>6.75</v>
      </c>
      <c r="AE8" s="381">
        <v>9</v>
      </c>
      <c r="AF8" s="381">
        <v>6</v>
      </c>
      <c r="AG8" s="381">
        <v>2</v>
      </c>
      <c r="AH8" s="381">
        <v>5.5</v>
      </c>
      <c r="AI8" s="381">
        <v>5</v>
      </c>
      <c r="AJ8" s="381">
        <v>4.25</v>
      </c>
      <c r="AK8" s="381">
        <v>5</v>
      </c>
      <c r="AL8" s="381">
        <v>3.5</v>
      </c>
      <c r="AM8" s="381">
        <v>3</v>
      </c>
      <c r="AN8" s="381">
        <v>1.5</v>
      </c>
      <c r="AO8" s="381">
        <f t="shared" si="0"/>
        <v>422</v>
      </c>
      <c r="AP8" s="382">
        <v>6.29</v>
      </c>
      <c r="AQ8" s="382">
        <v>155.1</v>
      </c>
      <c r="AR8" s="393">
        <v>411.7</v>
      </c>
      <c r="AS8" s="393">
        <v>426.0810776</v>
      </c>
      <c r="AT8" s="393">
        <v>287.60207299999996</v>
      </c>
    </row>
    <row r="9" spans="1:46" ht="18" customHeight="1">
      <c r="A9" s="368" t="s">
        <v>112</v>
      </c>
      <c r="B9" s="370">
        <f t="shared" si="1"/>
        <v>11.165577622281676</v>
      </c>
      <c r="C9" s="371">
        <f t="shared" si="2"/>
        <v>14.44767441860465</v>
      </c>
      <c r="D9" s="371">
        <f t="shared" si="3"/>
        <v>7.883480825958702</v>
      </c>
      <c r="E9" s="381">
        <v>86</v>
      </c>
      <c r="F9" s="381">
        <v>339</v>
      </c>
      <c r="G9" s="381">
        <v>32</v>
      </c>
      <c r="H9" s="381">
        <v>25</v>
      </c>
      <c r="I9" s="381">
        <v>23</v>
      </c>
      <c r="J9" s="381">
        <v>0</v>
      </c>
      <c r="K9" s="381">
        <v>14</v>
      </c>
      <c r="L9" s="381">
        <v>4</v>
      </c>
      <c r="M9" s="381">
        <v>71</v>
      </c>
      <c r="N9" s="381">
        <v>23</v>
      </c>
      <c r="O9" s="381">
        <v>31</v>
      </c>
      <c r="P9" s="381">
        <v>0</v>
      </c>
      <c r="Q9" s="381">
        <v>118</v>
      </c>
      <c r="R9" s="381">
        <v>280</v>
      </c>
      <c r="S9" s="381">
        <v>20</v>
      </c>
      <c r="T9" s="381">
        <v>12</v>
      </c>
      <c r="U9" s="381">
        <v>0</v>
      </c>
      <c r="V9" s="381">
        <v>0</v>
      </c>
      <c r="W9" s="381">
        <v>57</v>
      </c>
      <c r="X9" s="381">
        <v>6.75</v>
      </c>
      <c r="Y9" s="381">
        <v>9.05</v>
      </c>
      <c r="Z9" s="381">
        <v>7.5</v>
      </c>
      <c r="AA9" s="381">
        <v>7.25</v>
      </c>
      <c r="AB9" s="381">
        <v>7.75</v>
      </c>
      <c r="AC9" s="381">
        <v>10</v>
      </c>
      <c r="AD9" s="381">
        <v>6.75</v>
      </c>
      <c r="AE9" s="381">
        <v>9</v>
      </c>
      <c r="AF9" s="381">
        <v>6</v>
      </c>
      <c r="AG9" s="381">
        <v>2</v>
      </c>
      <c r="AH9" s="381">
        <v>5.5</v>
      </c>
      <c r="AI9" s="381">
        <v>5</v>
      </c>
      <c r="AJ9" s="381">
        <v>4.25</v>
      </c>
      <c r="AK9" s="381">
        <v>5</v>
      </c>
      <c r="AL9" s="381">
        <v>3.5</v>
      </c>
      <c r="AM9" s="381">
        <v>3</v>
      </c>
      <c r="AN9" s="381">
        <v>1.5</v>
      </c>
      <c r="AO9" s="381">
        <f t="shared" si="0"/>
        <v>425</v>
      </c>
      <c r="AP9" s="382">
        <v>6.2</v>
      </c>
      <c r="AQ9" s="382">
        <v>155.1</v>
      </c>
      <c r="AR9" s="393">
        <v>408.7</v>
      </c>
      <c r="AS9" s="393">
        <v>422.97020000000003</v>
      </c>
      <c r="AT9" s="393">
        <v>285.50225</v>
      </c>
    </row>
    <row r="10" spans="1:46" ht="18" customHeight="1">
      <c r="A10" s="368" t="s">
        <v>117</v>
      </c>
      <c r="B10" s="370">
        <f t="shared" si="1"/>
        <v>6.503779034367373</v>
      </c>
      <c r="C10" s="371">
        <f t="shared" si="2"/>
        <v>7.111464968152866</v>
      </c>
      <c r="D10" s="371">
        <f t="shared" si="3"/>
        <v>5.896093100581878</v>
      </c>
      <c r="E10" s="381">
        <v>314</v>
      </c>
      <c r="F10" s="381">
        <v>1203</v>
      </c>
      <c r="G10" s="381">
        <v>58</v>
      </c>
      <c r="H10" s="381">
        <v>50</v>
      </c>
      <c r="I10" s="381">
        <v>49</v>
      </c>
      <c r="J10" s="381">
        <v>0</v>
      </c>
      <c r="K10" s="381">
        <v>20</v>
      </c>
      <c r="L10" s="381">
        <v>7</v>
      </c>
      <c r="M10" s="381">
        <v>118</v>
      </c>
      <c r="N10" s="381">
        <v>58</v>
      </c>
      <c r="O10" s="381">
        <v>85</v>
      </c>
      <c r="P10" s="381">
        <v>0</v>
      </c>
      <c r="Q10" s="381">
        <v>398</v>
      </c>
      <c r="R10" s="381">
        <v>692</v>
      </c>
      <c r="S10" s="381">
        <v>22</v>
      </c>
      <c r="T10" s="381">
        <v>28</v>
      </c>
      <c r="U10" s="381">
        <v>0</v>
      </c>
      <c r="V10" s="381">
        <v>0</v>
      </c>
      <c r="W10" s="381">
        <v>119</v>
      </c>
      <c r="X10" s="381">
        <v>6.75</v>
      </c>
      <c r="Y10" s="381">
        <v>9.05</v>
      </c>
      <c r="Z10" s="381">
        <v>7.5</v>
      </c>
      <c r="AA10" s="381">
        <v>7.25</v>
      </c>
      <c r="AB10" s="381">
        <v>7.75</v>
      </c>
      <c r="AC10" s="381">
        <v>10</v>
      </c>
      <c r="AD10" s="381">
        <v>6.75</v>
      </c>
      <c r="AE10" s="381">
        <v>9</v>
      </c>
      <c r="AF10" s="381">
        <v>6</v>
      </c>
      <c r="AG10" s="381">
        <v>2</v>
      </c>
      <c r="AH10" s="381">
        <v>5.5</v>
      </c>
      <c r="AI10" s="381">
        <v>5</v>
      </c>
      <c r="AJ10" s="381">
        <v>4.25</v>
      </c>
      <c r="AK10" s="381">
        <v>5</v>
      </c>
      <c r="AL10" s="381">
        <v>3.5</v>
      </c>
      <c r="AM10" s="381">
        <v>3</v>
      </c>
      <c r="AN10" s="381">
        <v>1.5</v>
      </c>
      <c r="AO10" s="381">
        <f t="shared" si="0"/>
        <v>1517</v>
      </c>
      <c r="AP10" s="382">
        <v>6.06</v>
      </c>
      <c r="AQ10" s="382">
        <v>155.1</v>
      </c>
      <c r="AR10" s="393">
        <v>1425.8</v>
      </c>
      <c r="AS10" s="393">
        <v>1475.6635703999998</v>
      </c>
      <c r="AT10" s="393">
        <v>996.0637169999999</v>
      </c>
    </row>
    <row r="11" spans="1:46" ht="18" customHeight="1">
      <c r="A11" s="368" t="s">
        <v>118</v>
      </c>
      <c r="B11" s="370">
        <f t="shared" si="1"/>
        <v>8.686495279930153</v>
      </c>
      <c r="C11" s="371">
        <f t="shared" si="2"/>
        <v>12.095918367346938</v>
      </c>
      <c r="D11" s="371">
        <f t="shared" si="3"/>
        <v>5.277072192513369</v>
      </c>
      <c r="E11" s="381">
        <v>147</v>
      </c>
      <c r="F11" s="381">
        <v>748</v>
      </c>
      <c r="G11" s="381">
        <v>51</v>
      </c>
      <c r="H11" s="381">
        <v>32</v>
      </c>
      <c r="I11" s="381">
        <v>42</v>
      </c>
      <c r="J11" s="381">
        <v>2</v>
      </c>
      <c r="K11" s="381">
        <v>22</v>
      </c>
      <c r="L11" s="381">
        <v>3</v>
      </c>
      <c r="M11" s="381">
        <v>91</v>
      </c>
      <c r="N11" s="381">
        <v>19</v>
      </c>
      <c r="O11" s="381">
        <v>7</v>
      </c>
      <c r="P11" s="381">
        <v>0</v>
      </c>
      <c r="Q11" s="381">
        <v>253</v>
      </c>
      <c r="R11" s="381">
        <v>389</v>
      </c>
      <c r="S11" s="381">
        <v>19</v>
      </c>
      <c r="T11" s="381">
        <v>25</v>
      </c>
      <c r="U11" s="381">
        <v>0</v>
      </c>
      <c r="V11" s="381">
        <v>0</v>
      </c>
      <c r="W11" s="381">
        <v>128</v>
      </c>
      <c r="X11" s="381">
        <v>6.75</v>
      </c>
      <c r="Y11" s="381">
        <v>9.05</v>
      </c>
      <c r="Z11" s="381">
        <v>7.5</v>
      </c>
      <c r="AA11" s="381">
        <v>7.25</v>
      </c>
      <c r="AB11" s="381">
        <v>7.75</v>
      </c>
      <c r="AC11" s="381">
        <v>10</v>
      </c>
      <c r="AD11" s="381">
        <v>6.75</v>
      </c>
      <c r="AE11" s="381">
        <v>9</v>
      </c>
      <c r="AF11" s="381">
        <v>6</v>
      </c>
      <c r="AG11" s="381">
        <v>2</v>
      </c>
      <c r="AH11" s="381">
        <v>5.5</v>
      </c>
      <c r="AI11" s="381">
        <v>5</v>
      </c>
      <c r="AJ11" s="381">
        <v>4.25</v>
      </c>
      <c r="AK11" s="381">
        <v>5</v>
      </c>
      <c r="AL11" s="381">
        <v>3.5</v>
      </c>
      <c r="AM11" s="381">
        <v>3</v>
      </c>
      <c r="AN11" s="381">
        <v>1.5</v>
      </c>
      <c r="AO11" s="381">
        <f t="shared" si="0"/>
        <v>895</v>
      </c>
      <c r="AP11" s="382">
        <v>6</v>
      </c>
      <c r="AQ11" s="382">
        <v>155.1</v>
      </c>
      <c r="AR11" s="393">
        <v>832.9</v>
      </c>
      <c r="AS11" s="393">
        <v>861.9924</v>
      </c>
      <c r="AT11" s="393">
        <v>581.8395</v>
      </c>
    </row>
    <row r="12" spans="1:46" ht="18" customHeight="1">
      <c r="A12" s="368" t="s">
        <v>119</v>
      </c>
      <c r="B12" s="370">
        <f t="shared" si="1"/>
        <v>8.485605722871671</v>
      </c>
      <c r="C12" s="371">
        <f t="shared" si="2"/>
        <v>9.852588996763753</v>
      </c>
      <c r="D12" s="371">
        <f t="shared" si="3"/>
        <v>7.1186224489795915</v>
      </c>
      <c r="E12" s="381">
        <v>309</v>
      </c>
      <c r="F12" s="381">
        <v>784</v>
      </c>
      <c r="G12" s="381">
        <v>103</v>
      </c>
      <c r="H12" s="381">
        <v>84</v>
      </c>
      <c r="I12" s="381">
        <v>63</v>
      </c>
      <c r="J12" s="381">
        <v>0</v>
      </c>
      <c r="K12" s="381">
        <v>34</v>
      </c>
      <c r="L12" s="381">
        <v>7</v>
      </c>
      <c r="M12" s="381">
        <v>116</v>
      </c>
      <c r="N12" s="381">
        <v>39</v>
      </c>
      <c r="O12" s="381">
        <v>91</v>
      </c>
      <c r="P12" s="381">
        <v>0</v>
      </c>
      <c r="Q12" s="381">
        <v>243</v>
      </c>
      <c r="R12" s="381">
        <v>527</v>
      </c>
      <c r="S12" s="381">
        <v>46</v>
      </c>
      <c r="T12" s="381">
        <v>29</v>
      </c>
      <c r="U12" s="381">
        <v>0</v>
      </c>
      <c r="V12" s="381">
        <v>0</v>
      </c>
      <c r="W12" s="381">
        <v>248</v>
      </c>
      <c r="X12" s="381">
        <v>6.75</v>
      </c>
      <c r="Y12" s="381">
        <v>9.05</v>
      </c>
      <c r="Z12" s="381">
        <v>7.5</v>
      </c>
      <c r="AA12" s="381">
        <v>7.25</v>
      </c>
      <c r="AB12" s="381">
        <v>7.75</v>
      </c>
      <c r="AC12" s="381">
        <v>10</v>
      </c>
      <c r="AD12" s="381">
        <v>6.75</v>
      </c>
      <c r="AE12" s="381">
        <v>9</v>
      </c>
      <c r="AF12" s="381">
        <v>6</v>
      </c>
      <c r="AG12" s="381">
        <v>2</v>
      </c>
      <c r="AH12" s="381">
        <v>5.5</v>
      </c>
      <c r="AI12" s="381">
        <v>5</v>
      </c>
      <c r="AJ12" s="381">
        <v>4.25</v>
      </c>
      <c r="AK12" s="381">
        <v>5</v>
      </c>
      <c r="AL12" s="381">
        <v>3.5</v>
      </c>
      <c r="AM12" s="381">
        <v>3</v>
      </c>
      <c r="AN12" s="381">
        <v>1.5</v>
      </c>
      <c r="AO12" s="381">
        <f t="shared" si="0"/>
        <v>1093</v>
      </c>
      <c r="AP12" s="382">
        <v>6.12</v>
      </c>
      <c r="AQ12" s="382">
        <v>155.1</v>
      </c>
      <c r="AR12" s="393">
        <v>1037.5</v>
      </c>
      <c r="AS12" s="393">
        <v>1073.7439632</v>
      </c>
      <c r="AT12" s="393">
        <v>724.7704859999999</v>
      </c>
    </row>
    <row r="13" spans="1:46" ht="18" customHeight="1">
      <c r="A13" s="368" t="s">
        <v>120</v>
      </c>
      <c r="B13" s="370">
        <f t="shared" si="1"/>
        <v>5.146444709924712</v>
      </c>
      <c r="C13" s="371">
        <f t="shared" si="2"/>
        <v>7.2355871886121</v>
      </c>
      <c r="D13" s="371">
        <f t="shared" si="3"/>
        <v>3.0573022312373226</v>
      </c>
      <c r="E13" s="381">
        <v>281</v>
      </c>
      <c r="F13" s="381">
        <v>986</v>
      </c>
      <c r="G13" s="381">
        <v>66</v>
      </c>
      <c r="H13" s="381">
        <v>44</v>
      </c>
      <c r="I13" s="381">
        <v>32</v>
      </c>
      <c r="J13" s="381">
        <v>3</v>
      </c>
      <c r="K13" s="381">
        <v>24</v>
      </c>
      <c r="L13" s="381">
        <v>6</v>
      </c>
      <c r="M13" s="381">
        <v>101</v>
      </c>
      <c r="N13" s="381">
        <v>16</v>
      </c>
      <c r="O13" s="381">
        <v>52</v>
      </c>
      <c r="P13" s="381">
        <v>1</v>
      </c>
      <c r="Q13" s="381">
        <v>324</v>
      </c>
      <c r="R13" s="381">
        <v>98</v>
      </c>
      <c r="S13" s="381">
        <v>6</v>
      </c>
      <c r="T13" s="381">
        <v>20</v>
      </c>
      <c r="U13" s="381">
        <v>0</v>
      </c>
      <c r="V13" s="381">
        <v>0</v>
      </c>
      <c r="W13" s="381">
        <v>106</v>
      </c>
      <c r="X13" s="381">
        <v>6.75</v>
      </c>
      <c r="Y13" s="381">
        <v>9.05</v>
      </c>
      <c r="Z13" s="381">
        <v>7.5</v>
      </c>
      <c r="AA13" s="381">
        <v>7.25</v>
      </c>
      <c r="AB13" s="381">
        <v>7.75</v>
      </c>
      <c r="AC13" s="381">
        <v>10</v>
      </c>
      <c r="AD13" s="381">
        <v>6.75</v>
      </c>
      <c r="AE13" s="381">
        <v>9</v>
      </c>
      <c r="AF13" s="381">
        <v>6</v>
      </c>
      <c r="AG13" s="381">
        <v>2</v>
      </c>
      <c r="AH13" s="381">
        <v>5.5</v>
      </c>
      <c r="AI13" s="381">
        <v>5</v>
      </c>
      <c r="AJ13" s="381">
        <v>4.25</v>
      </c>
      <c r="AK13" s="381">
        <v>5</v>
      </c>
      <c r="AL13" s="381">
        <v>3.5</v>
      </c>
      <c r="AM13" s="381">
        <v>3</v>
      </c>
      <c r="AN13" s="381">
        <v>1.5</v>
      </c>
      <c r="AO13" s="381">
        <f t="shared" si="0"/>
        <v>1267</v>
      </c>
      <c r="AP13" s="382">
        <v>6.17</v>
      </c>
      <c r="AQ13" s="382">
        <v>155.1</v>
      </c>
      <c r="AR13" s="393">
        <v>1212.5</v>
      </c>
      <c r="AS13" s="393">
        <v>1254.8474428000002</v>
      </c>
      <c r="AT13" s="393">
        <v>847.0142065</v>
      </c>
    </row>
    <row r="14" spans="1:46" s="183" customFormat="1" ht="18" customHeight="1">
      <c r="A14" s="367" t="s">
        <v>298</v>
      </c>
      <c r="B14" s="371"/>
      <c r="C14" s="371"/>
      <c r="D14" s="371"/>
      <c r="E14" s="391">
        <f aca="true" t="shared" si="4" ref="E14:AO14">SUM(E5:E13)</f>
        <v>5935</v>
      </c>
      <c r="F14" s="381">
        <f t="shared" si="4"/>
        <v>15613</v>
      </c>
      <c r="G14" s="381">
        <f t="shared" si="4"/>
        <v>1845</v>
      </c>
      <c r="H14" s="381">
        <f t="shared" si="4"/>
        <v>1420</v>
      </c>
      <c r="I14" s="381">
        <f t="shared" si="4"/>
        <v>1037</v>
      </c>
      <c r="J14" s="381">
        <f t="shared" si="4"/>
        <v>47</v>
      </c>
      <c r="K14" s="381">
        <f t="shared" si="4"/>
        <v>523</v>
      </c>
      <c r="L14" s="381">
        <f t="shared" si="4"/>
        <v>134</v>
      </c>
      <c r="M14" s="381">
        <f t="shared" si="4"/>
        <v>2016</v>
      </c>
      <c r="N14" s="381">
        <f t="shared" si="4"/>
        <v>429</v>
      </c>
      <c r="O14" s="381">
        <f t="shared" si="4"/>
        <v>1135</v>
      </c>
      <c r="P14" s="381">
        <f t="shared" si="4"/>
        <v>1</v>
      </c>
      <c r="Q14" s="381">
        <f t="shared" si="4"/>
        <v>3846</v>
      </c>
      <c r="R14" s="381">
        <f t="shared" si="4"/>
        <v>8663</v>
      </c>
      <c r="S14" s="381">
        <f t="shared" si="4"/>
        <v>269</v>
      </c>
      <c r="T14" s="381">
        <f t="shared" si="4"/>
        <v>431</v>
      </c>
      <c r="U14" s="381">
        <f t="shared" si="4"/>
        <v>0</v>
      </c>
      <c r="V14" s="381">
        <f t="shared" si="4"/>
        <v>0</v>
      </c>
      <c r="W14" s="381">
        <f t="shared" si="4"/>
        <v>1985</v>
      </c>
      <c r="X14" s="381">
        <f t="shared" si="4"/>
        <v>60.75</v>
      </c>
      <c r="Y14" s="381">
        <f t="shared" si="4"/>
        <v>81.44999999999999</v>
      </c>
      <c r="Z14" s="381">
        <f t="shared" si="4"/>
        <v>67.5</v>
      </c>
      <c r="AA14" s="381">
        <f t="shared" si="4"/>
        <v>65.25</v>
      </c>
      <c r="AB14" s="381">
        <f t="shared" si="4"/>
        <v>69.75</v>
      </c>
      <c r="AC14" s="381">
        <f t="shared" si="4"/>
        <v>90</v>
      </c>
      <c r="AD14" s="381">
        <f t="shared" si="4"/>
        <v>60.75</v>
      </c>
      <c r="AE14" s="381">
        <f t="shared" si="4"/>
        <v>81</v>
      </c>
      <c r="AF14" s="381">
        <f t="shared" si="4"/>
        <v>54</v>
      </c>
      <c r="AG14" s="381">
        <f t="shared" si="4"/>
        <v>18</v>
      </c>
      <c r="AH14" s="381">
        <f t="shared" si="4"/>
        <v>49.5</v>
      </c>
      <c r="AI14" s="381">
        <f t="shared" si="4"/>
        <v>45</v>
      </c>
      <c r="AJ14" s="381">
        <f t="shared" si="4"/>
        <v>38.25</v>
      </c>
      <c r="AK14" s="381">
        <f t="shared" si="4"/>
        <v>45</v>
      </c>
      <c r="AL14" s="381">
        <f t="shared" si="4"/>
        <v>31.5</v>
      </c>
      <c r="AM14" s="381">
        <f t="shared" si="4"/>
        <v>27</v>
      </c>
      <c r="AN14" s="381">
        <f t="shared" si="4"/>
        <v>13.5</v>
      </c>
      <c r="AO14" s="381">
        <f t="shared" si="4"/>
        <v>21548</v>
      </c>
      <c r="AP14" s="392"/>
      <c r="AQ14" s="392"/>
      <c r="AR14" s="190">
        <f>SUM(AR5:AR13)</f>
        <v>20445.400000000005</v>
      </c>
      <c r="AS14" s="190">
        <v>21156.910885999998</v>
      </c>
      <c r="AT14" s="190">
        <v>14280.676342499999</v>
      </c>
    </row>
    <row r="15" ht="15.75">
      <c r="E15" s="383"/>
    </row>
    <row r="16" spans="41:46" ht="15.75">
      <c r="AO16" s="384"/>
      <c r="AP16" s="384"/>
      <c r="AQ16" s="385"/>
      <c r="AR16" s="386"/>
      <c r="AT16" s="387"/>
    </row>
    <row r="17" spans="1:46" ht="22.5" customHeight="1">
      <c r="A17" s="369"/>
      <c r="B17" s="388"/>
      <c r="C17" s="388"/>
      <c r="D17" s="388"/>
      <c r="E17" s="389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T17" s="387"/>
    </row>
    <row r="18" spans="43:46" ht="15.75">
      <c r="AQ18" s="390"/>
      <c r="AT18" s="387"/>
    </row>
    <row r="19" ht="15.75">
      <c r="E19" s="183"/>
    </row>
    <row r="20" ht="15.75">
      <c r="AQ20" s="390"/>
    </row>
    <row r="21" ht="15.75">
      <c r="A21" s="373"/>
    </row>
    <row r="24" ht="15.75">
      <c r="A24" s="373"/>
    </row>
  </sheetData>
  <sheetProtection/>
  <mergeCells count="2">
    <mergeCell ref="A2:AT2"/>
    <mergeCell ref="A1:AT1"/>
  </mergeCells>
  <printOptions/>
  <pageMargins left="0.39" right="0.32" top="0.75" bottom="0.75" header="0.3" footer="0.3"/>
  <pageSetup fitToHeight="1" fitToWidth="1"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8"/>
  <sheetViews>
    <sheetView view="pageBreakPreview" zoomScale="60" zoomScalePageLayoutView="0" workbookViewId="0" topLeftCell="A1">
      <selection activeCell="E14" sqref="E14"/>
    </sheetView>
  </sheetViews>
  <sheetFormatPr defaultColWidth="29.625" defaultRowHeight="12.75"/>
  <cols>
    <col min="1" max="1" width="46.75390625" style="28" customWidth="1"/>
    <col min="2" max="2" width="27.25390625" style="28" customWidth="1"/>
    <col min="3" max="3" width="17.375" style="28" customWidth="1"/>
    <col min="4" max="4" width="18.00390625" style="28" customWidth="1"/>
    <col min="5" max="5" width="33.375" style="28" bestFit="1" customWidth="1"/>
    <col min="6" max="6" width="29.375" style="28" customWidth="1"/>
    <col min="7" max="7" width="28.125" style="28" customWidth="1"/>
    <col min="8" max="8" width="9.125" style="28" hidden="1" customWidth="1"/>
    <col min="9" max="9" width="16.625" style="28" hidden="1" customWidth="1"/>
    <col min="10" max="10" width="9.125" style="28" hidden="1" customWidth="1"/>
    <col min="11" max="254" width="9.125" style="28" customWidth="1"/>
    <col min="255" max="255" width="54.25390625" style="28" customWidth="1"/>
    <col min="256" max="16384" width="29.625" style="28" customWidth="1"/>
  </cols>
  <sheetData>
    <row r="1" spans="1:7" ht="15.75">
      <c r="A1" s="562" t="s">
        <v>102</v>
      </c>
      <c r="B1" s="562"/>
      <c r="C1" s="562"/>
      <c r="D1" s="562"/>
      <c r="E1" s="562"/>
      <c r="F1" s="562"/>
      <c r="G1" s="562"/>
    </row>
    <row r="2" spans="1:7" ht="33.75" customHeight="1">
      <c r="A2" s="594" t="s">
        <v>386</v>
      </c>
      <c r="B2" s="594"/>
      <c r="C2" s="594"/>
      <c r="D2" s="594"/>
      <c r="E2" s="594"/>
      <c r="F2" s="594"/>
      <c r="G2" s="594"/>
    </row>
    <row r="3" spans="1:7" ht="23.25" customHeight="1">
      <c r="A3" s="594"/>
      <c r="B3" s="594"/>
      <c r="C3" s="594"/>
      <c r="D3" s="594"/>
      <c r="E3" s="594"/>
      <c r="F3" s="594"/>
      <c r="G3" s="594"/>
    </row>
    <row r="4" spans="2:7" ht="15.75">
      <c r="B4" s="289"/>
      <c r="C4" s="289"/>
      <c r="D4" s="289"/>
      <c r="E4" s="289"/>
      <c r="F4" s="289"/>
      <c r="G4" s="289"/>
    </row>
    <row r="5" spans="1:7" ht="15.75">
      <c r="A5" s="309"/>
      <c r="B5" s="309"/>
      <c r="C5" s="310"/>
      <c r="D5" s="311"/>
      <c r="E5" s="102"/>
      <c r="G5" s="312" t="s">
        <v>30</v>
      </c>
    </row>
    <row r="6" spans="1:7" ht="15.75">
      <c r="A6" s="477" t="s">
        <v>308</v>
      </c>
      <c r="B6" s="561" t="s">
        <v>387</v>
      </c>
      <c r="C6" s="561"/>
      <c r="D6" s="561"/>
      <c r="E6" s="561"/>
      <c r="F6" s="561"/>
      <c r="G6" s="561"/>
    </row>
    <row r="7" spans="1:7" ht="225" customHeight="1">
      <c r="A7" s="477"/>
      <c r="B7" s="290" t="s">
        <v>388</v>
      </c>
      <c r="C7" s="290" t="s">
        <v>389</v>
      </c>
      <c r="D7" s="290" t="s">
        <v>390</v>
      </c>
      <c r="E7" s="290" t="s">
        <v>391</v>
      </c>
      <c r="F7" s="290" t="s">
        <v>392</v>
      </c>
      <c r="G7" s="290" t="s">
        <v>393</v>
      </c>
    </row>
    <row r="8" spans="1:7" ht="15.75">
      <c r="A8" s="290">
        <v>1</v>
      </c>
      <c r="B8" s="290">
        <v>2</v>
      </c>
      <c r="C8" s="290">
        <v>3</v>
      </c>
      <c r="D8" s="290">
        <v>4</v>
      </c>
      <c r="E8" s="293">
        <v>5</v>
      </c>
      <c r="F8" s="293">
        <v>6</v>
      </c>
      <c r="G8" s="293">
        <v>7</v>
      </c>
    </row>
    <row r="9" spans="1:9" ht="18" customHeight="1">
      <c r="A9" s="211" t="s">
        <v>394</v>
      </c>
      <c r="B9" s="588">
        <v>1032.5</v>
      </c>
      <c r="C9" s="591">
        <v>2.75</v>
      </c>
      <c r="D9" s="313">
        <v>1</v>
      </c>
      <c r="E9" s="299">
        <f>I9*D9</f>
        <v>375.45454545454544</v>
      </c>
      <c r="F9" s="299">
        <f>I9*D9</f>
        <v>375.45454545454544</v>
      </c>
      <c r="G9" s="299">
        <f>I9*D9</f>
        <v>375.45454545454544</v>
      </c>
      <c r="I9" s="314">
        <f>B9/D12</f>
        <v>375.45454545454544</v>
      </c>
    </row>
    <row r="10" spans="1:9" ht="18" customHeight="1">
      <c r="A10" s="211" t="s">
        <v>116</v>
      </c>
      <c r="B10" s="589"/>
      <c r="C10" s="591"/>
      <c r="D10" s="313">
        <v>0.75</v>
      </c>
      <c r="E10" s="299">
        <v>281.5</v>
      </c>
      <c r="F10" s="299">
        <v>281.5</v>
      </c>
      <c r="G10" s="299">
        <v>281.5</v>
      </c>
      <c r="I10" s="314"/>
    </row>
    <row r="11" spans="1:9" ht="18" customHeight="1">
      <c r="A11" s="211" t="s">
        <v>117</v>
      </c>
      <c r="B11" s="589"/>
      <c r="C11" s="591"/>
      <c r="D11" s="313">
        <v>1</v>
      </c>
      <c r="E11" s="299">
        <f>I9*D11</f>
        <v>375.45454545454544</v>
      </c>
      <c r="F11" s="299">
        <f>I9*D11</f>
        <v>375.45454545454544</v>
      </c>
      <c r="G11" s="299">
        <f>I9*D11</f>
        <v>375.45454545454544</v>
      </c>
      <c r="I11" s="314"/>
    </row>
    <row r="12" spans="1:7" ht="18" customHeight="1">
      <c r="A12" s="293" t="s">
        <v>15</v>
      </c>
      <c r="B12" s="590"/>
      <c r="C12" s="592"/>
      <c r="D12" s="313">
        <f>D9+D10+D11</f>
        <v>2.75</v>
      </c>
      <c r="E12" s="299">
        <f>E9+E10+E11+0.1</f>
        <v>1032.509090909091</v>
      </c>
      <c r="F12" s="299">
        <f>F9+F10+F11+0.1</f>
        <v>1032.509090909091</v>
      </c>
      <c r="G12" s="299">
        <f>G9+G10+G11+0.1</f>
        <v>1032.509090909091</v>
      </c>
    </row>
    <row r="13" ht="42" customHeight="1"/>
    <row r="14" spans="1:4" ht="47.25">
      <c r="A14" s="73" t="s">
        <v>4</v>
      </c>
      <c r="B14" s="69" t="s">
        <v>395</v>
      </c>
      <c r="C14" s="539" t="s">
        <v>396</v>
      </c>
      <c r="D14" s="539"/>
    </row>
    <row r="15" spans="1:4" ht="18" customHeight="1">
      <c r="A15" s="211" t="s">
        <v>394</v>
      </c>
      <c r="B15" s="315">
        <v>593</v>
      </c>
      <c r="C15" s="593">
        <v>1</v>
      </c>
      <c r="D15" s="593"/>
    </row>
    <row r="16" spans="1:4" ht="18" customHeight="1">
      <c r="A16" s="211" t="s">
        <v>116</v>
      </c>
      <c r="B16" s="315">
        <v>474</v>
      </c>
      <c r="C16" s="593">
        <v>0.75</v>
      </c>
      <c r="D16" s="593"/>
    </row>
    <row r="17" spans="1:4" ht="18" customHeight="1">
      <c r="A17" s="211" t="s">
        <v>117</v>
      </c>
      <c r="B17" s="316">
        <v>1859</v>
      </c>
      <c r="C17" s="593">
        <v>1</v>
      </c>
      <c r="D17" s="593"/>
    </row>
    <row r="18" spans="1:4" ht="18" customHeight="1">
      <c r="A18" s="293" t="s">
        <v>15</v>
      </c>
      <c r="B18" s="316">
        <f>B15+B16+B17</f>
        <v>2926</v>
      </c>
      <c r="C18" s="593">
        <f>C15+C16+C17</f>
        <v>2.75</v>
      </c>
      <c r="D18" s="574"/>
    </row>
  </sheetData>
  <sheetProtection/>
  <mergeCells count="12">
    <mergeCell ref="C18:D18"/>
    <mergeCell ref="A1:G1"/>
    <mergeCell ref="A2:G2"/>
    <mergeCell ref="A3:G3"/>
    <mergeCell ref="A6:A7"/>
    <mergeCell ref="B6:G6"/>
    <mergeCell ref="B9:B12"/>
    <mergeCell ref="C9:C12"/>
    <mergeCell ref="C14:D14"/>
    <mergeCell ref="C15:D15"/>
    <mergeCell ref="C16:D16"/>
    <mergeCell ref="C17:D17"/>
  </mergeCells>
  <printOptions/>
  <pageMargins left="0.45" right="0.3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8"/>
  <sheetViews>
    <sheetView zoomScalePageLayoutView="0" workbookViewId="0" topLeftCell="D1">
      <selection activeCell="G7" sqref="G7"/>
    </sheetView>
  </sheetViews>
  <sheetFormatPr defaultColWidth="18.25390625" defaultRowHeight="12.75"/>
  <cols>
    <col min="1" max="1" width="34.00390625" style="269" customWidth="1"/>
    <col min="2" max="2" width="20.75390625" style="269" customWidth="1"/>
    <col min="3" max="3" width="17.375" style="269" customWidth="1"/>
    <col min="4" max="4" width="18.125" style="269" customWidth="1"/>
    <col min="5" max="5" width="23.375" style="269" customWidth="1"/>
    <col min="6" max="6" width="24.875" style="269" customWidth="1"/>
    <col min="7" max="7" width="22.00390625" style="269" customWidth="1"/>
    <col min="8" max="8" width="20.875" style="269" customWidth="1"/>
    <col min="9" max="9" width="26.375" style="269" customWidth="1"/>
    <col min="10" max="10" width="28.25390625" style="269" customWidth="1"/>
    <col min="11" max="11" width="22.125" style="269" customWidth="1"/>
    <col min="12" max="13" width="13.375" style="269" customWidth="1"/>
    <col min="14" max="15" width="13.75390625" style="269" customWidth="1"/>
    <col min="16" max="17" width="13.375" style="269" customWidth="1"/>
    <col min="18" max="18" width="10.875" style="269" customWidth="1"/>
    <col min="19" max="19" width="12.25390625" style="269" customWidth="1"/>
    <col min="20" max="16384" width="18.25390625" style="269" customWidth="1"/>
  </cols>
  <sheetData>
    <row r="1" spans="1:15" ht="19.5">
      <c r="A1" s="481" t="s">
        <v>34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268"/>
      <c r="M1" s="268"/>
      <c r="N1" s="268"/>
      <c r="O1" s="268"/>
    </row>
    <row r="2" spans="1:15" ht="45" customHeight="1">
      <c r="A2" s="481" t="s">
        <v>35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268"/>
      <c r="M2" s="268"/>
      <c r="N2" s="268"/>
      <c r="O2" s="268"/>
    </row>
    <row r="3" spans="1:15" ht="22.5" customHeight="1">
      <c r="A3" s="481" t="s">
        <v>366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268"/>
      <c r="M3" s="268"/>
      <c r="N3" s="268"/>
      <c r="O3" s="268"/>
    </row>
    <row r="4" spans="1:15" ht="22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2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7" ht="12.75">
      <c r="A6" s="270"/>
      <c r="B6" s="270"/>
      <c r="C6" s="271"/>
      <c r="D6" s="271"/>
      <c r="E6" s="271"/>
      <c r="F6" s="271"/>
      <c r="G6" s="271"/>
    </row>
    <row r="7" spans="1:15" s="274" customFormat="1" ht="191.25" customHeight="1">
      <c r="A7" s="216" t="s">
        <v>4</v>
      </c>
      <c r="B7" s="216" t="s">
        <v>36</v>
      </c>
      <c r="C7" s="272" t="s">
        <v>37</v>
      </c>
      <c r="D7" s="272" t="s">
        <v>38</v>
      </c>
      <c r="E7" s="272" t="s">
        <v>367</v>
      </c>
      <c r="F7" s="272" t="s">
        <v>39</v>
      </c>
      <c r="G7" s="272" t="s">
        <v>40</v>
      </c>
      <c r="H7" s="272" t="s">
        <v>41</v>
      </c>
      <c r="I7" s="272" t="s">
        <v>42</v>
      </c>
      <c r="J7" s="272" t="s">
        <v>368</v>
      </c>
      <c r="K7" s="272" t="s">
        <v>43</v>
      </c>
      <c r="L7" s="273"/>
      <c r="M7" s="273"/>
      <c r="N7" s="273"/>
      <c r="O7" s="273"/>
    </row>
    <row r="8" spans="1:15" s="39" customFormat="1" ht="15.75">
      <c r="A8" s="65"/>
      <c r="B8" s="275" t="s">
        <v>44</v>
      </c>
      <c r="C8" s="272" t="s">
        <v>45</v>
      </c>
      <c r="D8" s="272" t="s">
        <v>46</v>
      </c>
      <c r="E8" s="272" t="s">
        <v>47</v>
      </c>
      <c r="F8" s="272" t="s">
        <v>48</v>
      </c>
      <c r="G8" s="272"/>
      <c r="H8" s="272" t="s">
        <v>49</v>
      </c>
      <c r="I8" s="272" t="s">
        <v>50</v>
      </c>
      <c r="J8" s="272" t="s">
        <v>51</v>
      </c>
      <c r="K8" s="272"/>
      <c r="L8" s="273"/>
      <c r="M8" s="273"/>
      <c r="N8" s="273"/>
      <c r="O8" s="273"/>
    </row>
    <row r="9" spans="1:15" s="39" customFormat="1" ht="15.75">
      <c r="A9" s="276" t="s">
        <v>52</v>
      </c>
      <c r="B9" s="65"/>
      <c r="C9" s="277"/>
      <c r="D9" s="277">
        <f aca="true" t="shared" si="0" ref="D9:K9">D10+D12+D11</f>
        <v>17305</v>
      </c>
      <c r="E9" s="277">
        <f t="shared" si="0"/>
        <v>63452.2435</v>
      </c>
      <c r="F9" s="277">
        <f t="shared" si="0"/>
        <v>121135.86525</v>
      </c>
      <c r="G9" s="277">
        <f t="shared" si="0"/>
        <v>201893.10875</v>
      </c>
      <c r="H9" s="277">
        <f t="shared" si="0"/>
        <v>201893.10875</v>
      </c>
      <c r="I9" s="277">
        <f t="shared" si="0"/>
        <v>201893.10875</v>
      </c>
      <c r="J9" s="277">
        <f t="shared" si="0"/>
        <v>51886.528948750005</v>
      </c>
      <c r="K9" s="277">
        <f t="shared" si="0"/>
        <v>3045355.652385</v>
      </c>
      <c r="L9" s="278"/>
      <c r="M9" s="278"/>
      <c r="N9" s="278"/>
      <c r="O9" s="278"/>
    </row>
    <row r="10" spans="1:15" s="39" customFormat="1" ht="15.75">
      <c r="A10" s="276" t="s">
        <v>53</v>
      </c>
      <c r="B10" s="279">
        <v>1</v>
      </c>
      <c r="C10" s="277">
        <v>1</v>
      </c>
      <c r="D10" s="277">
        <v>6173</v>
      </c>
      <c r="E10" s="277">
        <f aca="true" t="shared" si="1" ref="E10:E20">D10*3.6667</f>
        <v>22634.5391</v>
      </c>
      <c r="F10" s="277">
        <f aca="true" t="shared" si="2" ref="F10:F20">(D10+E10)*1.5</f>
        <v>43211.308650000006</v>
      </c>
      <c r="G10" s="277">
        <f aca="true" t="shared" si="3" ref="G10:G20">D10+E10+F10</f>
        <v>72018.84775000002</v>
      </c>
      <c r="H10" s="277">
        <f aca="true" t="shared" si="4" ref="H10:H20">G10*C10</f>
        <v>72018.84775000002</v>
      </c>
      <c r="I10" s="277">
        <f aca="true" t="shared" si="5" ref="I10:I20">H10*B10</f>
        <v>72018.84775000002</v>
      </c>
      <c r="J10" s="277">
        <f aca="true" t="shared" si="6" ref="J10:J20">I10*0.257</f>
        <v>18508.843871750003</v>
      </c>
      <c r="K10" s="277">
        <f aca="true" t="shared" si="7" ref="K10:K20">(I10+J10)*12</f>
        <v>1086332.2994610001</v>
      </c>
      <c r="L10" s="280"/>
      <c r="M10" s="280"/>
      <c r="N10" s="280"/>
      <c r="O10" s="280"/>
    </row>
    <row r="11" spans="1:15" s="39" customFormat="1" ht="15.75">
      <c r="A11" s="276" t="s">
        <v>54</v>
      </c>
      <c r="B11" s="279">
        <v>1</v>
      </c>
      <c r="C11" s="277">
        <v>1</v>
      </c>
      <c r="D11" s="277">
        <v>5807</v>
      </c>
      <c r="E11" s="277">
        <f t="shared" si="1"/>
        <v>21292.5269</v>
      </c>
      <c r="F11" s="277">
        <f t="shared" si="2"/>
        <v>40649.29035</v>
      </c>
      <c r="G11" s="277">
        <f t="shared" si="3"/>
        <v>67748.81725000001</v>
      </c>
      <c r="H11" s="277">
        <f t="shared" si="4"/>
        <v>67748.81725000001</v>
      </c>
      <c r="I11" s="277">
        <f t="shared" si="5"/>
        <v>67748.81725000001</v>
      </c>
      <c r="J11" s="277">
        <f t="shared" si="6"/>
        <v>17411.446033250002</v>
      </c>
      <c r="K11" s="277">
        <f t="shared" si="7"/>
        <v>1021923.1593990001</v>
      </c>
      <c r="L11" s="280"/>
      <c r="M11" s="280"/>
      <c r="N11" s="280"/>
      <c r="O11" s="280"/>
    </row>
    <row r="12" spans="1:15" s="39" customFormat="1" ht="15.75">
      <c r="A12" s="276" t="s">
        <v>55</v>
      </c>
      <c r="B12" s="279">
        <v>1</v>
      </c>
      <c r="C12" s="277">
        <v>1</v>
      </c>
      <c r="D12" s="277">
        <v>5325</v>
      </c>
      <c r="E12" s="277">
        <f t="shared" si="1"/>
        <v>19525.1775</v>
      </c>
      <c r="F12" s="277">
        <f t="shared" si="2"/>
        <v>37275.26625</v>
      </c>
      <c r="G12" s="277">
        <f t="shared" si="3"/>
        <v>62125.443750000006</v>
      </c>
      <c r="H12" s="277">
        <f t="shared" si="4"/>
        <v>62125.443750000006</v>
      </c>
      <c r="I12" s="277">
        <f t="shared" si="5"/>
        <v>62125.443750000006</v>
      </c>
      <c r="J12" s="277">
        <f t="shared" si="6"/>
        <v>15966.239043750002</v>
      </c>
      <c r="K12" s="277">
        <f t="shared" si="7"/>
        <v>937100.193525</v>
      </c>
      <c r="L12" s="280"/>
      <c r="M12" s="280"/>
      <c r="N12" s="280"/>
      <c r="O12" s="280"/>
    </row>
    <row r="13" spans="1:15" s="39" customFormat="1" ht="16.5">
      <c r="A13" s="281" t="s">
        <v>8</v>
      </c>
      <c r="B13" s="279">
        <v>1</v>
      </c>
      <c r="C13" s="277">
        <v>1</v>
      </c>
      <c r="D13" s="277">
        <v>5325</v>
      </c>
      <c r="E13" s="277">
        <f t="shared" si="1"/>
        <v>19525.1775</v>
      </c>
      <c r="F13" s="277">
        <f t="shared" si="2"/>
        <v>37275.26625</v>
      </c>
      <c r="G13" s="277">
        <f t="shared" si="3"/>
        <v>62125.443750000006</v>
      </c>
      <c r="H13" s="277">
        <f t="shared" si="4"/>
        <v>62125.443750000006</v>
      </c>
      <c r="I13" s="277">
        <f t="shared" si="5"/>
        <v>62125.443750000006</v>
      </c>
      <c r="J13" s="277">
        <f t="shared" si="6"/>
        <v>15966.239043750002</v>
      </c>
      <c r="K13" s="277">
        <f t="shared" si="7"/>
        <v>937100.193525</v>
      </c>
      <c r="L13" s="280"/>
      <c r="M13" s="280"/>
      <c r="N13" s="280"/>
      <c r="O13" s="280"/>
    </row>
    <row r="14" spans="1:15" s="39" customFormat="1" ht="16.5">
      <c r="A14" s="281" t="s">
        <v>11</v>
      </c>
      <c r="B14" s="279">
        <v>1</v>
      </c>
      <c r="C14" s="277">
        <v>0.5</v>
      </c>
      <c r="D14" s="277">
        <v>5325</v>
      </c>
      <c r="E14" s="277">
        <f t="shared" si="1"/>
        <v>19525.1775</v>
      </c>
      <c r="F14" s="277">
        <f t="shared" si="2"/>
        <v>37275.26625</v>
      </c>
      <c r="G14" s="277">
        <f t="shared" si="3"/>
        <v>62125.443750000006</v>
      </c>
      <c r="H14" s="277">
        <f t="shared" si="4"/>
        <v>31062.721875000003</v>
      </c>
      <c r="I14" s="277">
        <f t="shared" si="5"/>
        <v>31062.721875000003</v>
      </c>
      <c r="J14" s="277">
        <f t="shared" si="6"/>
        <v>7983.119521875001</v>
      </c>
      <c r="K14" s="277">
        <f t="shared" si="7"/>
        <v>468550.0967625</v>
      </c>
      <c r="L14" s="280"/>
      <c r="M14" s="280"/>
      <c r="N14" s="280"/>
      <c r="O14" s="280"/>
    </row>
    <row r="15" spans="1:15" s="39" customFormat="1" ht="16.5">
      <c r="A15" s="281" t="s">
        <v>6</v>
      </c>
      <c r="B15" s="279">
        <v>1</v>
      </c>
      <c r="C15" s="277">
        <v>0.5</v>
      </c>
      <c r="D15" s="277">
        <v>5325</v>
      </c>
      <c r="E15" s="277">
        <f t="shared" si="1"/>
        <v>19525.1775</v>
      </c>
      <c r="F15" s="277">
        <f t="shared" si="2"/>
        <v>37275.26625</v>
      </c>
      <c r="G15" s="277">
        <f t="shared" si="3"/>
        <v>62125.443750000006</v>
      </c>
      <c r="H15" s="277">
        <f t="shared" si="4"/>
        <v>31062.721875000003</v>
      </c>
      <c r="I15" s="277">
        <f t="shared" si="5"/>
        <v>31062.721875000003</v>
      </c>
      <c r="J15" s="277">
        <f t="shared" si="6"/>
        <v>7983.119521875001</v>
      </c>
      <c r="K15" s="277">
        <f t="shared" si="7"/>
        <v>468550.0967625</v>
      </c>
      <c r="L15" s="280"/>
      <c r="M15" s="280"/>
      <c r="N15" s="280"/>
      <c r="O15" s="280"/>
    </row>
    <row r="16" spans="1:15" s="39" customFormat="1" ht="16.5">
      <c r="A16" s="281" t="s">
        <v>2</v>
      </c>
      <c r="B16" s="279">
        <v>1</v>
      </c>
      <c r="C16" s="277">
        <v>0.5</v>
      </c>
      <c r="D16" s="277">
        <v>5325</v>
      </c>
      <c r="E16" s="277">
        <f t="shared" si="1"/>
        <v>19525.1775</v>
      </c>
      <c r="F16" s="277">
        <f t="shared" si="2"/>
        <v>37275.26625</v>
      </c>
      <c r="G16" s="277">
        <f t="shared" si="3"/>
        <v>62125.443750000006</v>
      </c>
      <c r="H16" s="277">
        <f t="shared" si="4"/>
        <v>31062.721875000003</v>
      </c>
      <c r="I16" s="277">
        <f t="shared" si="5"/>
        <v>31062.721875000003</v>
      </c>
      <c r="J16" s="277">
        <f t="shared" si="6"/>
        <v>7983.119521875001</v>
      </c>
      <c r="K16" s="277">
        <f t="shared" si="7"/>
        <v>468550.0967625</v>
      </c>
      <c r="L16" s="280"/>
      <c r="M16" s="280"/>
      <c r="N16" s="280"/>
      <c r="O16" s="280"/>
    </row>
    <row r="17" spans="1:15" s="39" customFormat="1" ht="16.5">
      <c r="A17" s="281" t="s">
        <v>5</v>
      </c>
      <c r="B17" s="279">
        <v>1</v>
      </c>
      <c r="C17" s="277">
        <v>0.5</v>
      </c>
      <c r="D17" s="277">
        <v>5325</v>
      </c>
      <c r="E17" s="277">
        <f t="shared" si="1"/>
        <v>19525.1775</v>
      </c>
      <c r="F17" s="277">
        <f t="shared" si="2"/>
        <v>37275.26625</v>
      </c>
      <c r="G17" s="277">
        <f t="shared" si="3"/>
        <v>62125.443750000006</v>
      </c>
      <c r="H17" s="277">
        <f t="shared" si="4"/>
        <v>31062.721875000003</v>
      </c>
      <c r="I17" s="277">
        <f t="shared" si="5"/>
        <v>31062.721875000003</v>
      </c>
      <c r="J17" s="277">
        <f t="shared" si="6"/>
        <v>7983.119521875001</v>
      </c>
      <c r="K17" s="277">
        <f t="shared" si="7"/>
        <v>468550.0967625</v>
      </c>
      <c r="L17" s="280"/>
      <c r="M17" s="280"/>
      <c r="N17" s="280"/>
      <c r="O17" s="280"/>
    </row>
    <row r="18" spans="1:15" s="39" customFormat="1" ht="16.5">
      <c r="A18" s="281" t="s">
        <v>1</v>
      </c>
      <c r="B18" s="279">
        <v>1</v>
      </c>
      <c r="C18" s="277">
        <v>0.5</v>
      </c>
      <c r="D18" s="277">
        <v>5325</v>
      </c>
      <c r="E18" s="277">
        <f t="shared" si="1"/>
        <v>19525.1775</v>
      </c>
      <c r="F18" s="277">
        <f t="shared" si="2"/>
        <v>37275.26625</v>
      </c>
      <c r="G18" s="277">
        <f t="shared" si="3"/>
        <v>62125.443750000006</v>
      </c>
      <c r="H18" s="277">
        <f t="shared" si="4"/>
        <v>31062.721875000003</v>
      </c>
      <c r="I18" s="277">
        <f t="shared" si="5"/>
        <v>31062.721875000003</v>
      </c>
      <c r="J18" s="277">
        <f t="shared" si="6"/>
        <v>7983.119521875001</v>
      </c>
      <c r="K18" s="277">
        <f t="shared" si="7"/>
        <v>468550.0967625</v>
      </c>
      <c r="L18" s="280"/>
      <c r="M18" s="280"/>
      <c r="N18" s="280"/>
      <c r="O18" s="280"/>
    </row>
    <row r="19" spans="1:15" s="39" customFormat="1" ht="16.5">
      <c r="A19" s="281" t="s">
        <v>0</v>
      </c>
      <c r="B19" s="279">
        <v>1</v>
      </c>
      <c r="C19" s="277">
        <v>1</v>
      </c>
      <c r="D19" s="277">
        <v>5325</v>
      </c>
      <c r="E19" s="277">
        <f t="shared" si="1"/>
        <v>19525.1775</v>
      </c>
      <c r="F19" s="277">
        <f t="shared" si="2"/>
        <v>37275.26625</v>
      </c>
      <c r="G19" s="277">
        <f t="shared" si="3"/>
        <v>62125.443750000006</v>
      </c>
      <c r="H19" s="277">
        <f t="shared" si="4"/>
        <v>62125.443750000006</v>
      </c>
      <c r="I19" s="277">
        <f t="shared" si="5"/>
        <v>62125.443750000006</v>
      </c>
      <c r="J19" s="277">
        <f t="shared" si="6"/>
        <v>15966.239043750002</v>
      </c>
      <c r="K19" s="277">
        <f t="shared" si="7"/>
        <v>937100.193525</v>
      </c>
      <c r="L19" s="280"/>
      <c r="M19" s="280"/>
      <c r="N19" s="280"/>
      <c r="O19" s="280"/>
    </row>
    <row r="20" spans="1:15" s="39" customFormat="1" ht="16.5">
      <c r="A20" s="281" t="s">
        <v>7</v>
      </c>
      <c r="B20" s="279">
        <v>1</v>
      </c>
      <c r="C20" s="277">
        <v>1</v>
      </c>
      <c r="D20" s="277">
        <v>5325</v>
      </c>
      <c r="E20" s="277">
        <f t="shared" si="1"/>
        <v>19525.1775</v>
      </c>
      <c r="F20" s="277">
        <f t="shared" si="2"/>
        <v>37275.26625</v>
      </c>
      <c r="G20" s="277">
        <f t="shared" si="3"/>
        <v>62125.443750000006</v>
      </c>
      <c r="H20" s="277">
        <f t="shared" si="4"/>
        <v>62125.443750000006</v>
      </c>
      <c r="I20" s="277">
        <f t="shared" si="5"/>
        <v>62125.443750000006</v>
      </c>
      <c r="J20" s="277">
        <f t="shared" si="6"/>
        <v>15966.239043750002</v>
      </c>
      <c r="K20" s="277">
        <f t="shared" si="7"/>
        <v>937100.193525</v>
      </c>
      <c r="L20" s="280"/>
      <c r="M20" s="280"/>
      <c r="N20" s="280"/>
      <c r="O20" s="280"/>
    </row>
    <row r="21" spans="1:15" s="39" customFormat="1" ht="15.75">
      <c r="A21" s="282" t="s">
        <v>15</v>
      </c>
      <c r="B21" s="277">
        <f>SUM(B10:B20)</f>
        <v>11</v>
      </c>
      <c r="C21" s="277">
        <f>SUM(C10:C20)</f>
        <v>8.5</v>
      </c>
      <c r="D21" s="277">
        <f aca="true" t="shared" si="8" ref="D21:K21">D9+D13+D14+D15+D16+D17+D18+D19+D20</f>
        <v>59905</v>
      </c>
      <c r="E21" s="277">
        <f t="shared" si="8"/>
        <v>219653.66349999997</v>
      </c>
      <c r="F21" s="277">
        <f t="shared" si="8"/>
        <v>419337.9952499999</v>
      </c>
      <c r="G21" s="277">
        <f t="shared" si="8"/>
        <v>698896.6587499998</v>
      </c>
      <c r="H21" s="277">
        <f t="shared" si="8"/>
        <v>543583.049375</v>
      </c>
      <c r="I21" s="277">
        <f t="shared" si="8"/>
        <v>543583.049375</v>
      </c>
      <c r="J21" s="277">
        <f t="shared" si="8"/>
        <v>139700.84368937506</v>
      </c>
      <c r="K21" s="277">
        <f t="shared" si="8"/>
        <v>8199406.716772499</v>
      </c>
      <c r="L21" s="278"/>
      <c r="M21" s="278"/>
      <c r="N21" s="278"/>
      <c r="O21" s="278"/>
    </row>
    <row r="23" spans="12:15" ht="12" customHeight="1">
      <c r="L23" s="283"/>
      <c r="M23" s="283"/>
      <c r="N23" s="283"/>
      <c r="O23" s="283"/>
    </row>
    <row r="24" spans="1:11" ht="160.5" customHeight="1">
      <c r="A24" s="216" t="s">
        <v>4</v>
      </c>
      <c r="B24" s="272" t="s">
        <v>56</v>
      </c>
      <c r="C24" s="272" t="s">
        <v>57</v>
      </c>
      <c r="D24" s="272" t="s">
        <v>58</v>
      </c>
      <c r="E24" s="272" t="s">
        <v>59</v>
      </c>
      <c r="F24" s="272" t="s">
        <v>60</v>
      </c>
      <c r="G24" s="272" t="s">
        <v>61</v>
      </c>
      <c r="H24" s="272" t="s">
        <v>62</v>
      </c>
      <c r="I24" s="272" t="s">
        <v>297</v>
      </c>
      <c r="J24" s="272" t="s">
        <v>369</v>
      </c>
      <c r="K24" s="272" t="s">
        <v>370</v>
      </c>
    </row>
    <row r="25" spans="1:11" ht="15.75">
      <c r="A25" s="65"/>
      <c r="B25" s="272" t="s">
        <v>63</v>
      </c>
      <c r="C25" s="272" t="s">
        <v>64</v>
      </c>
      <c r="D25" s="272" t="s">
        <v>65</v>
      </c>
      <c r="E25" s="272" t="s">
        <v>66</v>
      </c>
      <c r="F25" s="272" t="s">
        <v>67</v>
      </c>
      <c r="G25" s="272" t="s">
        <v>68</v>
      </c>
      <c r="H25" s="272" t="s">
        <v>69</v>
      </c>
      <c r="I25" s="272" t="s">
        <v>69</v>
      </c>
      <c r="J25" s="272" t="s">
        <v>69</v>
      </c>
      <c r="K25" s="272" t="s">
        <v>69</v>
      </c>
    </row>
    <row r="26" spans="1:11" ht="15.75">
      <c r="A26" s="276" t="s">
        <v>32</v>
      </c>
      <c r="B26" s="277">
        <v>106800</v>
      </c>
      <c r="C26" s="277">
        <v>48060</v>
      </c>
      <c r="D26" s="277">
        <v>36645</v>
      </c>
      <c r="E26" s="277">
        <v>3204</v>
      </c>
      <c r="F26" s="277">
        <v>97188</v>
      </c>
      <c r="G26" s="277">
        <v>621985</v>
      </c>
      <c r="H26" s="277">
        <f>SUM(B26:G26)+K9</f>
        <v>3959237.652385</v>
      </c>
      <c r="I26" s="277">
        <v>3959.2</v>
      </c>
      <c r="J26" s="277">
        <v>3959.2</v>
      </c>
      <c r="K26" s="277">
        <v>3959.2</v>
      </c>
    </row>
    <row r="27" spans="1:11" ht="15.75" hidden="1">
      <c r="A27" s="276" t="s">
        <v>53</v>
      </c>
      <c r="B27" s="277">
        <v>35600</v>
      </c>
      <c r="C27" s="277">
        <v>16020</v>
      </c>
      <c r="D27" s="277">
        <v>12215</v>
      </c>
      <c r="E27" s="277">
        <v>1068</v>
      </c>
      <c r="F27" s="277">
        <v>32396</v>
      </c>
      <c r="G27" s="277">
        <v>243595</v>
      </c>
      <c r="H27" s="277">
        <f>SUM(B27:G27)</f>
        <v>340894</v>
      </c>
      <c r="I27" s="284">
        <v>1347.3</v>
      </c>
      <c r="J27" s="284">
        <v>1347.3</v>
      </c>
      <c r="K27" s="284">
        <v>1347.3</v>
      </c>
    </row>
    <row r="28" spans="1:11" ht="15.75" hidden="1">
      <c r="A28" s="276" t="s">
        <v>54</v>
      </c>
      <c r="B28" s="277">
        <v>35600</v>
      </c>
      <c r="C28" s="277">
        <v>16020</v>
      </c>
      <c r="D28" s="277">
        <v>12215</v>
      </c>
      <c r="E28" s="277">
        <v>1068</v>
      </c>
      <c r="F28" s="277">
        <v>32396</v>
      </c>
      <c r="G28" s="277">
        <v>189195</v>
      </c>
      <c r="H28" s="277">
        <f>SUM(B28:G28)</f>
        <v>286494</v>
      </c>
      <c r="I28" s="284">
        <v>1276.4</v>
      </c>
      <c r="J28" s="284">
        <v>1276.4</v>
      </c>
      <c r="K28" s="284">
        <v>1276.4</v>
      </c>
    </row>
    <row r="29" spans="1:11" ht="15.75" hidden="1">
      <c r="A29" s="276" t="s">
        <v>55</v>
      </c>
      <c r="B29" s="277">
        <v>35600</v>
      </c>
      <c r="C29" s="277">
        <v>16020</v>
      </c>
      <c r="D29" s="277">
        <v>12215</v>
      </c>
      <c r="E29" s="277">
        <v>1068</v>
      </c>
      <c r="F29" s="277">
        <v>32396</v>
      </c>
      <c r="G29" s="277">
        <v>189195</v>
      </c>
      <c r="H29" s="277">
        <f>SUM(B29:G29)</f>
        <v>286494</v>
      </c>
      <c r="I29" s="284">
        <v>1183.1</v>
      </c>
      <c r="J29" s="284">
        <v>1183.1</v>
      </c>
      <c r="K29" s="284">
        <v>1183.1</v>
      </c>
    </row>
    <row r="30" spans="1:11" ht="16.5">
      <c r="A30" s="281" t="s">
        <v>8</v>
      </c>
      <c r="B30" s="277">
        <v>62600</v>
      </c>
      <c r="C30" s="277">
        <v>26700</v>
      </c>
      <c r="D30" s="277">
        <v>27600</v>
      </c>
      <c r="E30" s="277">
        <v>5400</v>
      </c>
      <c r="F30" s="277">
        <v>17000</v>
      </c>
      <c r="G30" s="277">
        <v>103100</v>
      </c>
      <c r="H30" s="277">
        <f aca="true" t="shared" si="9" ref="H30:H37">B30+C30+D30+E30+F30+G30+K13</f>
        <v>1179500.193525</v>
      </c>
      <c r="I30" s="284">
        <v>1179.5</v>
      </c>
      <c r="J30" s="284">
        <v>1179.5</v>
      </c>
      <c r="K30" s="284">
        <v>1179.5</v>
      </c>
    </row>
    <row r="31" spans="1:11" ht="16.5">
      <c r="A31" s="281" t="s">
        <v>11</v>
      </c>
      <c r="B31" s="277">
        <v>85575</v>
      </c>
      <c r="C31" s="277">
        <v>13400</v>
      </c>
      <c r="D31" s="277">
        <v>27600</v>
      </c>
      <c r="E31" s="277">
        <v>5400</v>
      </c>
      <c r="F31" s="277">
        <v>21000</v>
      </c>
      <c r="G31" s="277">
        <v>39301</v>
      </c>
      <c r="H31" s="277">
        <f t="shared" si="9"/>
        <v>660826.0967625</v>
      </c>
      <c r="I31" s="284">
        <v>660.8</v>
      </c>
      <c r="J31" s="284">
        <v>660.8</v>
      </c>
      <c r="K31" s="284">
        <v>660.8</v>
      </c>
    </row>
    <row r="32" spans="1:11" ht="16.5">
      <c r="A32" s="281" t="s">
        <v>6</v>
      </c>
      <c r="B32" s="277">
        <v>20727</v>
      </c>
      <c r="C32" s="277">
        <v>12700</v>
      </c>
      <c r="D32" s="277">
        <v>19850</v>
      </c>
      <c r="E32" s="277">
        <v>2000</v>
      </c>
      <c r="F32" s="277">
        <v>5460</v>
      </c>
      <c r="G32" s="277">
        <v>21000</v>
      </c>
      <c r="H32" s="277">
        <f t="shared" si="9"/>
        <v>550287.0967625</v>
      </c>
      <c r="I32" s="284">
        <v>550.3</v>
      </c>
      <c r="J32" s="284">
        <v>550.3</v>
      </c>
      <c r="K32" s="284">
        <v>550.3</v>
      </c>
    </row>
    <row r="33" spans="1:11" ht="16.5">
      <c r="A33" s="281" t="s">
        <v>2</v>
      </c>
      <c r="B33" s="277">
        <v>6500</v>
      </c>
      <c r="C33" s="277">
        <v>8250</v>
      </c>
      <c r="D33" s="277">
        <v>19800</v>
      </c>
      <c r="E33" s="277">
        <v>2000</v>
      </c>
      <c r="F33" s="277">
        <v>10500</v>
      </c>
      <c r="G33" s="277">
        <v>44426</v>
      </c>
      <c r="H33" s="277">
        <f t="shared" si="9"/>
        <v>560026.0967625</v>
      </c>
      <c r="I33" s="284">
        <v>560</v>
      </c>
      <c r="J33" s="284">
        <v>560</v>
      </c>
      <c r="K33" s="284">
        <v>560</v>
      </c>
    </row>
    <row r="34" spans="1:11" ht="16.5">
      <c r="A34" s="281" t="s">
        <v>5</v>
      </c>
      <c r="B34" s="277">
        <v>50000</v>
      </c>
      <c r="C34" s="277">
        <v>19600</v>
      </c>
      <c r="D34" s="277">
        <v>19800</v>
      </c>
      <c r="E34" s="277">
        <v>2000</v>
      </c>
      <c r="F34" s="277">
        <v>60000</v>
      </c>
      <c r="G34" s="277">
        <v>18500</v>
      </c>
      <c r="H34" s="277">
        <f t="shared" si="9"/>
        <v>638450.0967625</v>
      </c>
      <c r="I34" s="284">
        <v>638.5</v>
      </c>
      <c r="J34" s="284">
        <v>638.5</v>
      </c>
      <c r="K34" s="284">
        <v>638.5</v>
      </c>
    </row>
    <row r="35" spans="1:11" ht="16.5">
      <c r="A35" s="281" t="s">
        <v>1</v>
      </c>
      <c r="B35" s="277">
        <v>17640</v>
      </c>
      <c r="C35" s="277">
        <v>4208</v>
      </c>
      <c r="D35" s="277">
        <v>1105</v>
      </c>
      <c r="E35" s="277">
        <v>1150</v>
      </c>
      <c r="F35" s="277">
        <v>1050</v>
      </c>
      <c r="G35" s="277">
        <v>51623</v>
      </c>
      <c r="H35" s="277">
        <f t="shared" si="9"/>
        <v>545326.0967625</v>
      </c>
      <c r="I35" s="284">
        <v>545.3</v>
      </c>
      <c r="J35" s="284">
        <v>545.3</v>
      </c>
      <c r="K35" s="284">
        <v>545.3</v>
      </c>
    </row>
    <row r="36" spans="1:11" ht="16.5">
      <c r="A36" s="281" t="s">
        <v>0</v>
      </c>
      <c r="B36" s="277">
        <v>109350</v>
      </c>
      <c r="C36" s="277">
        <v>25120</v>
      </c>
      <c r="D36" s="277">
        <v>7107</v>
      </c>
      <c r="E36" s="277">
        <v>7400</v>
      </c>
      <c r="F36" s="277">
        <v>2000</v>
      </c>
      <c r="G36" s="277">
        <v>9780</v>
      </c>
      <c r="H36" s="277">
        <f t="shared" si="9"/>
        <v>1097857.193525</v>
      </c>
      <c r="I36" s="284">
        <v>1097.9</v>
      </c>
      <c r="J36" s="284">
        <v>1097.9</v>
      </c>
      <c r="K36" s="284">
        <v>1097.9</v>
      </c>
    </row>
    <row r="37" spans="1:11" ht="16.5">
      <c r="A37" s="281" t="s">
        <v>7</v>
      </c>
      <c r="B37" s="277">
        <v>2100</v>
      </c>
      <c r="C37" s="277">
        <v>17600</v>
      </c>
      <c r="D37" s="277">
        <v>19900</v>
      </c>
      <c r="E37" s="277">
        <v>2100</v>
      </c>
      <c r="F37" s="277">
        <v>21000</v>
      </c>
      <c r="G37" s="277">
        <v>112000</v>
      </c>
      <c r="H37" s="277">
        <f t="shared" si="9"/>
        <v>1111800.193525</v>
      </c>
      <c r="I37" s="284">
        <v>1111.8</v>
      </c>
      <c r="J37" s="284">
        <v>1111.8</v>
      </c>
      <c r="K37" s="284">
        <v>1111.8</v>
      </c>
    </row>
    <row r="38" spans="1:11" s="287" customFormat="1" ht="20.25" customHeight="1">
      <c r="A38" s="285" t="s">
        <v>15</v>
      </c>
      <c r="B38" s="286">
        <f aca="true" t="shared" si="10" ref="B38:K38">B26+B30+B31+B32+B33+B34+B35+B36+B37</f>
        <v>461292</v>
      </c>
      <c r="C38" s="286">
        <f t="shared" si="10"/>
        <v>175638</v>
      </c>
      <c r="D38" s="286">
        <f t="shared" si="10"/>
        <v>179407</v>
      </c>
      <c r="E38" s="286">
        <f t="shared" si="10"/>
        <v>30654</v>
      </c>
      <c r="F38" s="286">
        <f t="shared" si="10"/>
        <v>235198</v>
      </c>
      <c r="G38" s="286">
        <f t="shared" si="10"/>
        <v>1021715</v>
      </c>
      <c r="H38" s="286">
        <f t="shared" si="10"/>
        <v>10303310.716772499</v>
      </c>
      <c r="I38" s="286">
        <f t="shared" si="10"/>
        <v>10303.3</v>
      </c>
      <c r="J38" s="286">
        <f t="shared" si="10"/>
        <v>10303.3</v>
      </c>
      <c r="K38" s="286">
        <f t="shared" si="10"/>
        <v>10303.3</v>
      </c>
    </row>
  </sheetData>
  <sheetProtection/>
  <mergeCells count="3">
    <mergeCell ref="A1:K1"/>
    <mergeCell ref="A2:K2"/>
    <mergeCell ref="A3:K3"/>
  </mergeCells>
  <printOptions horizontalCentered="1"/>
  <pageMargins left="0.2362204724409449" right="0.2755905511811024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2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40.25390625" style="355" customWidth="1"/>
    <col min="2" max="2" width="17.75390625" style="355" customWidth="1"/>
    <col min="3" max="3" width="19.875" style="355" customWidth="1"/>
    <col min="4" max="4" width="20.125" style="355" customWidth="1"/>
    <col min="5" max="5" width="17.25390625" style="355" customWidth="1"/>
    <col min="6" max="6" width="13.125" style="355" customWidth="1"/>
    <col min="7" max="7" width="10.00390625" style="355" customWidth="1"/>
    <col min="8" max="16384" width="9.125" style="355" customWidth="1"/>
  </cols>
  <sheetData>
    <row r="1" spans="1:9" ht="15.75">
      <c r="A1" s="583" t="s">
        <v>107</v>
      </c>
      <c r="B1" s="583"/>
      <c r="C1" s="583"/>
      <c r="D1" s="583"/>
      <c r="E1" s="583"/>
      <c r="F1" s="583"/>
      <c r="G1" s="583"/>
      <c r="H1" s="583"/>
      <c r="I1" s="583"/>
    </row>
    <row r="2" spans="1:9" ht="8.25" customHeight="1">
      <c r="A2" s="600" t="s">
        <v>541</v>
      </c>
      <c r="B2" s="600"/>
      <c r="C2" s="600"/>
      <c r="D2" s="600"/>
      <c r="E2" s="600"/>
      <c r="F2" s="600"/>
      <c r="G2" s="600"/>
      <c r="H2" s="600"/>
      <c r="I2" s="600"/>
    </row>
    <row r="3" spans="1:9" ht="15.75">
      <c r="A3" s="600"/>
      <c r="B3" s="600"/>
      <c r="C3" s="600"/>
      <c r="D3" s="600"/>
      <c r="E3" s="600"/>
      <c r="F3" s="600"/>
      <c r="G3" s="600"/>
      <c r="H3" s="600"/>
      <c r="I3" s="600"/>
    </row>
    <row r="4" spans="1:9" ht="6" customHeight="1">
      <c r="A4" s="600"/>
      <c r="B4" s="600"/>
      <c r="C4" s="600"/>
      <c r="D4" s="600"/>
      <c r="E4" s="600"/>
      <c r="F4" s="600"/>
      <c r="G4" s="600"/>
      <c r="H4" s="600"/>
      <c r="I4" s="600"/>
    </row>
    <row r="5" spans="1:9" ht="31.5" customHeight="1">
      <c r="A5" s="600"/>
      <c r="B5" s="600"/>
      <c r="C5" s="600"/>
      <c r="D5" s="600"/>
      <c r="E5" s="600"/>
      <c r="F5" s="600"/>
      <c r="G5" s="600"/>
      <c r="H5" s="600"/>
      <c r="I5" s="600"/>
    </row>
    <row r="6" spans="1:9" ht="18" customHeight="1">
      <c r="A6" s="600"/>
      <c r="B6" s="600"/>
      <c r="C6" s="600"/>
      <c r="D6" s="600"/>
      <c r="E6" s="600"/>
      <c r="F6" s="600"/>
      <c r="G6" s="600"/>
      <c r="H6" s="600"/>
      <c r="I6" s="600"/>
    </row>
    <row r="7" spans="8:9" ht="15.75">
      <c r="H7" s="601" t="s">
        <v>542</v>
      </c>
      <c r="I7" s="602"/>
    </row>
    <row r="8" spans="1:9" ht="37.5" customHeight="1">
      <c r="A8" s="595" t="s">
        <v>486</v>
      </c>
      <c r="B8" s="595" t="s">
        <v>543</v>
      </c>
      <c r="C8" s="595" t="s">
        <v>544</v>
      </c>
      <c r="D8" s="595" t="s">
        <v>545</v>
      </c>
      <c r="E8" s="595" t="s">
        <v>546</v>
      </c>
      <c r="F8" s="595" t="s">
        <v>326</v>
      </c>
      <c r="G8" s="597" t="s">
        <v>547</v>
      </c>
      <c r="H8" s="598"/>
      <c r="I8" s="599"/>
    </row>
    <row r="9" spans="1:9" ht="135.75" customHeight="1">
      <c r="A9" s="596"/>
      <c r="B9" s="596"/>
      <c r="C9" s="596"/>
      <c r="D9" s="596"/>
      <c r="E9" s="596"/>
      <c r="F9" s="596"/>
      <c r="G9" s="406" t="s">
        <v>287</v>
      </c>
      <c r="H9" s="406" t="s">
        <v>288</v>
      </c>
      <c r="I9" s="406" t="s">
        <v>333</v>
      </c>
    </row>
    <row r="10" spans="1:9" s="354" customFormat="1" ht="18" customHeight="1">
      <c r="A10" s="454">
        <v>1</v>
      </c>
      <c r="B10" s="454">
        <v>2</v>
      </c>
      <c r="C10" s="454">
        <v>3</v>
      </c>
      <c r="D10" s="454">
        <v>4</v>
      </c>
      <c r="E10" s="454">
        <v>5</v>
      </c>
      <c r="F10" s="454">
        <v>6</v>
      </c>
      <c r="G10" s="454">
        <v>7</v>
      </c>
      <c r="H10" s="460">
        <v>8</v>
      </c>
      <c r="I10" s="460">
        <v>9</v>
      </c>
    </row>
    <row r="11" spans="1:9" ht="15.75">
      <c r="A11" s="65" t="s">
        <v>10</v>
      </c>
      <c r="B11" s="408">
        <v>17</v>
      </c>
      <c r="C11" s="408">
        <v>39</v>
      </c>
      <c r="D11" s="408">
        <f aca="true" t="shared" si="0" ref="D11:D19">B11*C11</f>
        <v>663</v>
      </c>
      <c r="E11" s="408">
        <v>125.06436802413269</v>
      </c>
      <c r="F11" s="408">
        <v>12</v>
      </c>
      <c r="G11" s="408">
        <f>D11*E11*F11/1000</f>
        <v>995.0121119999998</v>
      </c>
      <c r="H11" s="455">
        <v>995.0121119999998</v>
      </c>
      <c r="I11" s="455">
        <v>995.0121119999998</v>
      </c>
    </row>
    <row r="12" spans="1:9" ht="15.75">
      <c r="A12" s="65" t="s">
        <v>113</v>
      </c>
      <c r="B12" s="408">
        <v>47</v>
      </c>
      <c r="C12" s="408">
        <v>39</v>
      </c>
      <c r="D12" s="408">
        <f t="shared" si="0"/>
        <v>1833</v>
      </c>
      <c r="E12" s="408">
        <v>99.4</v>
      </c>
      <c r="F12" s="408">
        <v>12</v>
      </c>
      <c r="G12" s="408">
        <f>D12*E12*F12/1000</f>
        <v>2186.4024000000004</v>
      </c>
      <c r="H12" s="455">
        <v>2186.4024000000004</v>
      </c>
      <c r="I12" s="455">
        <v>2186.4024000000004</v>
      </c>
    </row>
    <row r="13" spans="1:9" ht="15.75">
      <c r="A13" s="65" t="s">
        <v>109</v>
      </c>
      <c r="B13" s="408">
        <v>25</v>
      </c>
      <c r="C13" s="408">
        <v>49.4</v>
      </c>
      <c r="D13" s="408">
        <f t="shared" si="0"/>
        <v>1235</v>
      </c>
      <c r="E13" s="408">
        <v>113.85</v>
      </c>
      <c r="F13" s="408">
        <v>12</v>
      </c>
      <c r="G13" s="408">
        <f>D13*E13*F13/1000+6</f>
        <v>1693.257</v>
      </c>
      <c r="H13" s="455">
        <v>1693.257</v>
      </c>
      <c r="I13" s="455">
        <v>1693.257</v>
      </c>
    </row>
    <row r="14" spans="1:9" ht="15.75">
      <c r="A14" s="65" t="s">
        <v>116</v>
      </c>
      <c r="B14" s="408">
        <v>19</v>
      </c>
      <c r="C14" s="408">
        <v>45</v>
      </c>
      <c r="D14" s="408">
        <f t="shared" si="0"/>
        <v>855</v>
      </c>
      <c r="E14" s="408">
        <v>72.51</v>
      </c>
      <c r="F14" s="408">
        <v>12</v>
      </c>
      <c r="G14" s="408">
        <f aca="true" t="shared" si="1" ref="G14:G19">D14*E14*F14/1000</f>
        <v>743.9526000000001</v>
      </c>
      <c r="H14" s="455">
        <v>743.9526000000001</v>
      </c>
      <c r="I14" s="455">
        <v>743.9526000000001</v>
      </c>
    </row>
    <row r="15" spans="1:9" ht="15.75">
      <c r="A15" s="65" t="s">
        <v>112</v>
      </c>
      <c r="B15" s="408">
        <v>11</v>
      </c>
      <c r="C15" s="408">
        <v>39.5</v>
      </c>
      <c r="D15" s="408">
        <f t="shared" si="0"/>
        <v>434.5</v>
      </c>
      <c r="E15" s="408">
        <v>112.03</v>
      </c>
      <c r="F15" s="408">
        <v>12</v>
      </c>
      <c r="G15" s="408">
        <f t="shared" si="1"/>
        <v>584.12442</v>
      </c>
      <c r="H15" s="455">
        <v>584.12442</v>
      </c>
      <c r="I15" s="455">
        <v>584.12442</v>
      </c>
    </row>
    <row r="16" spans="1:9" ht="15.75">
      <c r="A16" s="65" t="s">
        <v>117</v>
      </c>
      <c r="B16" s="408">
        <v>13</v>
      </c>
      <c r="C16" s="408">
        <v>44.5</v>
      </c>
      <c r="D16" s="408">
        <f t="shared" si="0"/>
        <v>578.5</v>
      </c>
      <c r="E16" s="408">
        <v>121.21</v>
      </c>
      <c r="F16" s="408">
        <v>12</v>
      </c>
      <c r="G16" s="408">
        <f t="shared" si="1"/>
        <v>841.43982</v>
      </c>
      <c r="H16" s="455">
        <v>841.43982</v>
      </c>
      <c r="I16" s="455">
        <v>841.43982</v>
      </c>
    </row>
    <row r="17" spans="1:9" ht="15.75">
      <c r="A17" s="65" t="s">
        <v>118</v>
      </c>
      <c r="B17" s="408">
        <v>24</v>
      </c>
      <c r="C17" s="408">
        <v>39.8</v>
      </c>
      <c r="D17" s="408">
        <f t="shared" si="0"/>
        <v>955.1999999999999</v>
      </c>
      <c r="E17" s="408">
        <v>63.243282512693675</v>
      </c>
      <c r="F17" s="408">
        <v>12</v>
      </c>
      <c r="G17" s="408">
        <f t="shared" si="1"/>
        <v>724.9198014735</v>
      </c>
      <c r="H17" s="455">
        <v>724.9198014735</v>
      </c>
      <c r="I17" s="455">
        <v>724.9198014735</v>
      </c>
    </row>
    <row r="18" spans="1:9" ht="15.75">
      <c r="A18" s="65" t="s">
        <v>119</v>
      </c>
      <c r="B18" s="408">
        <v>29</v>
      </c>
      <c r="C18" s="408">
        <v>40.2</v>
      </c>
      <c r="D18" s="408">
        <f t="shared" si="0"/>
        <v>1165.8000000000002</v>
      </c>
      <c r="E18" s="408">
        <v>101.62</v>
      </c>
      <c r="F18" s="408">
        <v>12</v>
      </c>
      <c r="G18" s="408">
        <f t="shared" si="1"/>
        <v>1421.6231520000003</v>
      </c>
      <c r="H18" s="455">
        <v>1421.6231520000003</v>
      </c>
      <c r="I18" s="455">
        <v>1421.6231520000003</v>
      </c>
    </row>
    <row r="19" spans="1:9" ht="15.75">
      <c r="A19" s="65" t="s">
        <v>120</v>
      </c>
      <c r="B19" s="408">
        <v>32</v>
      </c>
      <c r="C19" s="408">
        <v>40.3</v>
      </c>
      <c r="D19" s="408">
        <f t="shared" si="0"/>
        <v>1289.6</v>
      </c>
      <c r="E19" s="408">
        <v>95.03</v>
      </c>
      <c r="F19" s="408">
        <v>12</v>
      </c>
      <c r="G19" s="408">
        <f t="shared" si="1"/>
        <v>1470.608256</v>
      </c>
      <c r="H19" s="455">
        <v>1470.608256</v>
      </c>
      <c r="I19" s="455">
        <v>1470.608256</v>
      </c>
    </row>
    <row r="20" spans="1:9" ht="15.75">
      <c r="A20" s="456" t="s">
        <v>16</v>
      </c>
      <c r="B20" s="457"/>
      <c r="C20" s="457"/>
      <c r="D20" s="457"/>
      <c r="E20" s="457"/>
      <c r="F20" s="457"/>
      <c r="G20" s="458">
        <f>G11+G12+G13+G14+G15+G16+G17+G18+G19</f>
        <v>10661.339561473502</v>
      </c>
      <c r="H20" s="458">
        <f>H11+H12+H13+H14+H15+H16+H17+H18+H19</f>
        <v>10661.339561473502</v>
      </c>
      <c r="I20" s="458">
        <f>I11+I12+I13+I14+I15+I16+I17+I18+I19</f>
        <v>10661.339561473502</v>
      </c>
    </row>
    <row r="21" ht="15.75">
      <c r="C21" s="459"/>
    </row>
    <row r="22" ht="15.75">
      <c r="D22" s="459"/>
    </row>
  </sheetData>
  <sheetProtection/>
  <mergeCells count="11">
    <mergeCell ref="E8:E9"/>
    <mergeCell ref="F8:F9"/>
    <mergeCell ref="G8:I8"/>
    <mergeCell ref="A1:I1"/>
    <mergeCell ref="A2:I5"/>
    <mergeCell ref="A6:I6"/>
    <mergeCell ref="H7:I7"/>
    <mergeCell ref="A8:A9"/>
    <mergeCell ref="B8:B9"/>
    <mergeCell ref="C8:C9"/>
    <mergeCell ref="D8:D9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6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44.00390625" style="0" customWidth="1"/>
    <col min="2" max="2" width="15.00390625" style="0" customWidth="1"/>
    <col min="3" max="3" width="13.75390625" style="0" customWidth="1"/>
    <col min="4" max="4" width="13.375" style="0" customWidth="1"/>
    <col min="5" max="5" width="13.00390625" style="0" customWidth="1"/>
  </cols>
  <sheetData>
    <row r="1" spans="1:5" ht="12.75">
      <c r="A1" s="603" t="s">
        <v>107</v>
      </c>
      <c r="B1" s="603"/>
      <c r="C1" s="603"/>
      <c r="D1" s="603"/>
      <c r="E1" s="603"/>
    </row>
    <row r="2" spans="1:5" ht="48.75" customHeight="1">
      <c r="A2" s="604" t="s">
        <v>555</v>
      </c>
      <c r="B2" s="604"/>
      <c r="C2" s="604"/>
      <c r="D2" s="604"/>
      <c r="E2" s="604"/>
    </row>
    <row r="3" spans="1:5" ht="15">
      <c r="A3" s="461"/>
      <c r="B3" s="461"/>
      <c r="C3" s="461"/>
      <c r="D3" s="461"/>
      <c r="E3" s="461"/>
    </row>
    <row r="4" spans="1:5" ht="15">
      <c r="A4" s="461"/>
      <c r="B4" s="461"/>
      <c r="C4" s="461"/>
      <c r="D4" s="461"/>
      <c r="E4" s="461"/>
    </row>
    <row r="5" spans="1:5" ht="15">
      <c r="A5" s="462"/>
      <c r="B5" s="463"/>
      <c r="E5" s="464" t="s">
        <v>548</v>
      </c>
    </row>
    <row r="6" spans="1:5" ht="45">
      <c r="A6" s="465" t="s">
        <v>549</v>
      </c>
      <c r="B6" s="465" t="s">
        <v>550</v>
      </c>
      <c r="C6" s="466" t="s">
        <v>551</v>
      </c>
      <c r="D6" s="466" t="s">
        <v>552</v>
      </c>
      <c r="E6" s="466" t="s">
        <v>553</v>
      </c>
    </row>
    <row r="7" spans="1:5" ht="15">
      <c r="A7" s="456" t="s">
        <v>16</v>
      </c>
      <c r="B7" s="467">
        <f>SUM(B8:B16)</f>
        <v>46816</v>
      </c>
      <c r="C7" s="467">
        <v>1764</v>
      </c>
      <c r="D7" s="467">
        <v>1764</v>
      </c>
      <c r="E7" s="467">
        <v>1764</v>
      </c>
    </row>
    <row r="8" spans="1:5" ht="15">
      <c r="A8" s="468" t="s">
        <v>10</v>
      </c>
      <c r="B8" s="467">
        <v>20250</v>
      </c>
      <c r="C8" s="467">
        <v>763.1</v>
      </c>
      <c r="D8" s="467">
        <v>763.1</v>
      </c>
      <c r="E8" s="467">
        <v>763.1</v>
      </c>
    </row>
    <row r="9" spans="1:5" ht="15">
      <c r="A9" s="468" t="s">
        <v>113</v>
      </c>
      <c r="B9" s="467">
        <v>6433</v>
      </c>
      <c r="C9" s="467">
        <v>242.4</v>
      </c>
      <c r="D9" s="467">
        <v>242.4</v>
      </c>
      <c r="E9" s="467">
        <v>242.4</v>
      </c>
    </row>
    <row r="10" spans="1:5" ht="15">
      <c r="A10" s="469" t="s">
        <v>109</v>
      </c>
      <c r="B10" s="467">
        <v>4207</v>
      </c>
      <c r="C10" s="467">
        <v>158.5</v>
      </c>
      <c r="D10" s="467">
        <v>158.5</v>
      </c>
      <c r="E10" s="467">
        <v>158.5</v>
      </c>
    </row>
    <row r="11" spans="1:5" ht="15">
      <c r="A11" s="468" t="s">
        <v>116</v>
      </c>
      <c r="B11" s="467">
        <v>1774</v>
      </c>
      <c r="C11" s="467">
        <v>66.8</v>
      </c>
      <c r="D11" s="467">
        <v>66.8</v>
      </c>
      <c r="E11" s="467">
        <v>66.8</v>
      </c>
    </row>
    <row r="12" spans="1:5" ht="15">
      <c r="A12" s="468" t="s">
        <v>112</v>
      </c>
      <c r="B12" s="467">
        <v>1903</v>
      </c>
      <c r="C12" s="467">
        <v>71.7</v>
      </c>
      <c r="D12" s="467">
        <v>71.7</v>
      </c>
      <c r="E12" s="467">
        <v>71.7</v>
      </c>
    </row>
    <row r="13" spans="1:5" ht="15">
      <c r="A13" s="468" t="s">
        <v>117</v>
      </c>
      <c r="B13" s="467">
        <v>2682</v>
      </c>
      <c r="C13" s="467">
        <v>101.1</v>
      </c>
      <c r="D13" s="467">
        <v>101.1</v>
      </c>
      <c r="E13" s="467">
        <v>101.1</v>
      </c>
    </row>
    <row r="14" spans="1:5" ht="15">
      <c r="A14" s="469" t="s">
        <v>118</v>
      </c>
      <c r="B14" s="467">
        <v>2496</v>
      </c>
      <c r="C14" s="467">
        <v>94</v>
      </c>
      <c r="D14" s="467">
        <v>94</v>
      </c>
      <c r="E14" s="467">
        <v>94</v>
      </c>
    </row>
    <row r="15" spans="1:5" ht="15">
      <c r="A15" s="468" t="s">
        <v>119</v>
      </c>
      <c r="B15" s="467">
        <v>4371</v>
      </c>
      <c r="C15" s="467">
        <v>164.7</v>
      </c>
      <c r="D15" s="467">
        <v>164.7</v>
      </c>
      <c r="E15" s="467">
        <v>164.7</v>
      </c>
    </row>
    <row r="16" spans="1:5" ht="15">
      <c r="A16" s="468" t="s">
        <v>120</v>
      </c>
      <c r="B16" s="467">
        <v>2700</v>
      </c>
      <c r="C16" s="467">
        <v>101.7</v>
      </c>
      <c r="D16" s="467">
        <v>101.7</v>
      </c>
      <c r="E16" s="467">
        <v>101.7</v>
      </c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T41"/>
  <sheetViews>
    <sheetView view="pageBreakPreview" zoomScale="60" zoomScalePageLayoutView="0" workbookViewId="0" topLeftCell="A1">
      <selection activeCell="Q30" sqref="Q30"/>
    </sheetView>
  </sheetViews>
  <sheetFormatPr defaultColWidth="20.75390625" defaultRowHeight="12.75"/>
  <cols>
    <col min="1" max="1" width="23.25390625" style="15" customWidth="1"/>
    <col min="2" max="2" width="22.125" style="15" customWidth="1"/>
    <col min="3" max="3" width="12.25390625" style="15" customWidth="1"/>
    <col min="4" max="4" width="13.375" style="15" customWidth="1"/>
    <col min="5" max="5" width="13.125" style="15" customWidth="1"/>
    <col min="6" max="6" width="9.25390625" style="15" customWidth="1"/>
    <col min="7" max="7" width="17.125" style="15" hidden="1" customWidth="1"/>
    <col min="8" max="8" width="15.375" style="15" hidden="1" customWidth="1"/>
    <col min="9" max="9" width="15.875" style="15" hidden="1" customWidth="1"/>
    <col min="10" max="10" width="19.00390625" style="15" hidden="1" customWidth="1"/>
    <col min="11" max="11" width="15.375" style="15" hidden="1" customWidth="1"/>
    <col min="12" max="12" width="1.75390625" style="15" hidden="1" customWidth="1"/>
    <col min="13" max="13" width="15.625" style="15" hidden="1" customWidth="1"/>
    <col min="14" max="14" width="17.00390625" style="15" hidden="1" customWidth="1"/>
    <col min="15" max="15" width="14.375" style="15" customWidth="1"/>
    <col min="16" max="16" width="15.875" style="15" customWidth="1"/>
    <col min="17" max="17" width="11.125" style="15" customWidth="1"/>
    <col min="18" max="18" width="10.625" style="15" customWidth="1"/>
    <col min="19" max="20" width="9.375" style="15" customWidth="1"/>
    <col min="21" max="21" width="9.625" style="15" customWidth="1"/>
    <col min="22" max="22" width="9.25390625" style="15" customWidth="1"/>
    <col min="23" max="23" width="10.00390625" style="15" customWidth="1"/>
    <col min="24" max="24" width="12.25390625" style="15" customWidth="1"/>
    <col min="25" max="25" width="12.00390625" style="15" customWidth="1"/>
    <col min="26" max="26" width="12.125" style="15" customWidth="1"/>
    <col min="27" max="251" width="18.25390625" style="15" customWidth="1"/>
    <col min="252" max="252" width="34.00390625" style="15" customWidth="1"/>
    <col min="253" max="253" width="29.625" style="15" customWidth="1"/>
    <col min="254" max="16384" width="20.75390625" style="15" customWidth="1"/>
  </cols>
  <sheetData>
    <row r="1" spans="1:26" ht="19.5" customHeight="1">
      <c r="A1" s="484" t="s">
        <v>102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</row>
    <row r="2" spans="1:26" ht="80.25" customHeight="1">
      <c r="A2" s="484" t="s">
        <v>365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</row>
    <row r="3" ht="9" customHeight="1"/>
    <row r="4" spans="1:24" ht="15.75" customHeight="1">
      <c r="A4" s="487"/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</row>
    <row r="5" spans="1:254" ht="18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483" t="s">
        <v>30</v>
      </c>
      <c r="Z5" s="483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</row>
    <row r="6" spans="1:254" ht="22.5" customHeight="1">
      <c r="A6" s="486" t="s">
        <v>70</v>
      </c>
      <c r="B6" s="486" t="s">
        <v>71</v>
      </c>
      <c r="C6" s="261" t="s">
        <v>72</v>
      </c>
      <c r="D6" s="261" t="s">
        <v>73</v>
      </c>
      <c r="E6" s="261" t="s">
        <v>74</v>
      </c>
      <c r="F6" s="261" t="s">
        <v>44</v>
      </c>
      <c r="G6" s="261" t="s">
        <v>75</v>
      </c>
      <c r="H6" s="261" t="s">
        <v>75</v>
      </c>
      <c r="I6" s="261" t="s">
        <v>72</v>
      </c>
      <c r="J6" s="261" t="s">
        <v>73</v>
      </c>
      <c r="K6" s="261" t="s">
        <v>74</v>
      </c>
      <c r="L6" s="486" t="s">
        <v>70</v>
      </c>
      <c r="M6" s="261" t="s">
        <v>75</v>
      </c>
      <c r="N6" s="260" t="s">
        <v>76</v>
      </c>
      <c r="O6" s="261" t="s">
        <v>77</v>
      </c>
      <c r="P6" s="261" t="s">
        <v>75</v>
      </c>
      <c r="Q6" s="261" t="s">
        <v>75</v>
      </c>
      <c r="R6" s="261" t="s">
        <v>63</v>
      </c>
      <c r="S6" s="261" t="s">
        <v>64</v>
      </c>
      <c r="T6" s="261" t="s">
        <v>65</v>
      </c>
      <c r="U6" s="261" t="s">
        <v>66</v>
      </c>
      <c r="V6" s="261" t="s">
        <v>67</v>
      </c>
      <c r="W6" s="261" t="s">
        <v>78</v>
      </c>
      <c r="X6" s="482" t="s">
        <v>273</v>
      </c>
      <c r="Y6" s="482" t="s">
        <v>274</v>
      </c>
      <c r="Z6" s="482" t="s">
        <v>275</v>
      </c>
      <c r="AA6" s="257"/>
      <c r="AB6" s="257"/>
      <c r="AC6" s="257"/>
      <c r="AD6" s="257"/>
      <c r="AE6" s="489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pans="1:254" s="27" customFormat="1" ht="16.5" customHeight="1">
      <c r="A7" s="486"/>
      <c r="B7" s="486"/>
      <c r="C7" s="486" t="s">
        <v>79</v>
      </c>
      <c r="D7" s="486" t="s">
        <v>80</v>
      </c>
      <c r="E7" s="486" t="s">
        <v>81</v>
      </c>
      <c r="F7" s="486" t="s">
        <v>82</v>
      </c>
      <c r="G7" s="486" t="s">
        <v>83</v>
      </c>
      <c r="H7" s="486" t="s">
        <v>84</v>
      </c>
      <c r="I7" s="486" t="s">
        <v>79</v>
      </c>
      <c r="J7" s="486" t="s">
        <v>80</v>
      </c>
      <c r="K7" s="486" t="s">
        <v>81</v>
      </c>
      <c r="L7" s="486"/>
      <c r="M7" s="486" t="s">
        <v>83</v>
      </c>
      <c r="N7" s="486" t="s">
        <v>85</v>
      </c>
      <c r="O7" s="486" t="s">
        <v>86</v>
      </c>
      <c r="P7" s="486" t="s">
        <v>87</v>
      </c>
      <c r="Q7" s="486" t="s">
        <v>88</v>
      </c>
      <c r="R7" s="486" t="s">
        <v>89</v>
      </c>
      <c r="S7" s="486" t="s">
        <v>90</v>
      </c>
      <c r="T7" s="486" t="s">
        <v>91</v>
      </c>
      <c r="U7" s="486" t="s">
        <v>92</v>
      </c>
      <c r="V7" s="486" t="s">
        <v>93</v>
      </c>
      <c r="W7" s="486" t="s">
        <v>94</v>
      </c>
      <c r="X7" s="482"/>
      <c r="Y7" s="482"/>
      <c r="Z7" s="482"/>
      <c r="AA7" s="488"/>
      <c r="AB7" s="488"/>
      <c r="AC7" s="488"/>
      <c r="AD7" s="488"/>
      <c r="AE7" s="489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</row>
    <row r="8" spans="1:254" s="27" customFormat="1" ht="12.75" customHeight="1">
      <c r="A8" s="486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2"/>
      <c r="Y8" s="482"/>
      <c r="Z8" s="482"/>
      <c r="AA8" s="488"/>
      <c r="AB8" s="488"/>
      <c r="AC8" s="488"/>
      <c r="AD8" s="488"/>
      <c r="AE8" s="489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</row>
    <row r="9" spans="1:254" s="27" customFormat="1" ht="57" customHeight="1">
      <c r="A9" s="486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2"/>
      <c r="Y9" s="482"/>
      <c r="Z9" s="482"/>
      <c r="AA9" s="488"/>
      <c r="AB9" s="488"/>
      <c r="AC9" s="488"/>
      <c r="AD9" s="488"/>
      <c r="AE9" s="489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</row>
    <row r="10" spans="1:254" ht="16.5">
      <c r="A10" s="485" t="s">
        <v>32</v>
      </c>
      <c r="B10" s="263" t="s">
        <v>95</v>
      </c>
      <c r="C10" s="17">
        <f>ROUND(8399*1.05*1.05*1.05,0)</f>
        <v>9723</v>
      </c>
      <c r="D10" s="17">
        <f>C10*3.666667</f>
        <v>35651.003241</v>
      </c>
      <c r="E10" s="17">
        <f aca="true" t="shared" si="0" ref="E10:E15">(C10+D10)*1.5</f>
        <v>68061.0048615</v>
      </c>
      <c r="F10" s="18">
        <v>1</v>
      </c>
      <c r="G10" s="17">
        <f aca="true" t="shared" si="1" ref="G10:G15">(C10+D10+E10)*F10</f>
        <v>113435.0081025</v>
      </c>
      <c r="H10" s="17">
        <f aca="true" t="shared" si="2" ref="H10:H15">G10*12</f>
        <v>1361220.09723</v>
      </c>
      <c r="I10" s="17"/>
      <c r="J10" s="17"/>
      <c r="K10" s="17">
        <f aca="true" t="shared" si="3" ref="K10:K15">(I10+J10)*1.5</f>
        <v>0</v>
      </c>
      <c r="L10" s="485" t="s">
        <v>32</v>
      </c>
      <c r="M10" s="17">
        <f aca="true" t="shared" si="4" ref="M10:M15">(J10+K10+I10)*F10</f>
        <v>0</v>
      </c>
      <c r="N10" s="264">
        <f aca="true" t="shared" si="5" ref="N10:N15">M10*3</f>
        <v>0</v>
      </c>
      <c r="O10" s="17">
        <f>H10*0.28</f>
        <v>381141.6272244</v>
      </c>
      <c r="P10" s="17">
        <f aca="true" t="shared" si="6" ref="P10:P15">O10+H10</f>
        <v>1742361.7244544</v>
      </c>
      <c r="Q10" s="19"/>
      <c r="R10" s="19"/>
      <c r="S10" s="19"/>
      <c r="T10" s="20"/>
      <c r="U10" s="20"/>
      <c r="V10" s="20"/>
      <c r="W10" s="20"/>
      <c r="X10" s="263"/>
      <c r="Y10" s="263"/>
      <c r="Z10" s="263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ht="16.5">
      <c r="A11" s="485"/>
      <c r="B11" s="263" t="s">
        <v>96</v>
      </c>
      <c r="C11" s="17">
        <f>ROUND(5478*1.05*1.05*1.05,0)</f>
        <v>6341</v>
      </c>
      <c r="D11" s="17">
        <f>C11*3.666667</f>
        <v>23250.335446999998</v>
      </c>
      <c r="E11" s="17">
        <f t="shared" si="0"/>
        <v>44387.0031705</v>
      </c>
      <c r="F11" s="18">
        <v>1</v>
      </c>
      <c r="G11" s="17">
        <f t="shared" si="1"/>
        <v>73978.3386175</v>
      </c>
      <c r="H11" s="17">
        <f t="shared" si="2"/>
        <v>887740.0634100001</v>
      </c>
      <c r="I11" s="17"/>
      <c r="J11" s="17"/>
      <c r="K11" s="17">
        <f t="shared" si="3"/>
        <v>0</v>
      </c>
      <c r="L11" s="485"/>
      <c r="M11" s="17">
        <f t="shared" si="4"/>
        <v>0</v>
      </c>
      <c r="N11" s="264">
        <f t="shared" si="5"/>
        <v>0</v>
      </c>
      <c r="O11" s="17">
        <f>H11*0.28</f>
        <v>248567.21775480005</v>
      </c>
      <c r="P11" s="17">
        <f t="shared" si="6"/>
        <v>1136307.2811648</v>
      </c>
      <c r="Q11" s="19"/>
      <c r="R11" s="19"/>
      <c r="S11" s="19"/>
      <c r="T11" s="20"/>
      <c r="U11" s="20"/>
      <c r="V11" s="20"/>
      <c r="W11" s="20"/>
      <c r="X11" s="263"/>
      <c r="Y11" s="263"/>
      <c r="Z11" s="263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ht="16.5">
      <c r="A12" s="485"/>
      <c r="B12" s="263" t="s">
        <v>97</v>
      </c>
      <c r="C12" s="17">
        <f>ROUND(5015*1.05*1.05*1.05,0)</f>
        <v>5805</v>
      </c>
      <c r="D12" s="17">
        <f>C12*3.666667</f>
        <v>21285.001935</v>
      </c>
      <c r="E12" s="17">
        <f t="shared" si="0"/>
        <v>40635.0029025</v>
      </c>
      <c r="F12" s="18">
        <f>4+2</f>
        <v>6</v>
      </c>
      <c r="G12" s="17">
        <f t="shared" si="1"/>
        <v>406350.02902499994</v>
      </c>
      <c r="H12" s="17">
        <f t="shared" si="2"/>
        <v>4876200.348299999</v>
      </c>
      <c r="I12" s="17"/>
      <c r="J12" s="17"/>
      <c r="K12" s="17">
        <f t="shared" si="3"/>
        <v>0</v>
      </c>
      <c r="L12" s="485"/>
      <c r="M12" s="17">
        <f t="shared" si="4"/>
        <v>0</v>
      </c>
      <c r="N12" s="264">
        <f t="shared" si="5"/>
        <v>0</v>
      </c>
      <c r="O12" s="17">
        <f>H12*0.28</f>
        <v>1365336.0975239999</v>
      </c>
      <c r="P12" s="17">
        <f t="shared" si="6"/>
        <v>6241536.445823999</v>
      </c>
      <c r="Q12" s="19"/>
      <c r="R12" s="19"/>
      <c r="S12" s="19"/>
      <c r="T12" s="20"/>
      <c r="U12" s="20"/>
      <c r="V12" s="20"/>
      <c r="W12" s="20"/>
      <c r="X12" s="263"/>
      <c r="Y12" s="263"/>
      <c r="Z12" s="263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ht="16.5">
      <c r="A13" s="485"/>
      <c r="B13" s="263" t="s">
        <v>98</v>
      </c>
      <c r="C13" s="17">
        <f>ROUND(4599*1.05*1.05*1.05,0)</f>
        <v>5324</v>
      </c>
      <c r="D13" s="17">
        <f>C13*3.666667</f>
        <v>19521.335108</v>
      </c>
      <c r="E13" s="17">
        <f t="shared" si="0"/>
        <v>37268.002662</v>
      </c>
      <c r="F13" s="18">
        <v>3</v>
      </c>
      <c r="G13" s="17">
        <f t="shared" si="1"/>
        <v>186340.01331</v>
      </c>
      <c r="H13" s="17">
        <f t="shared" si="2"/>
        <v>2236080.15972</v>
      </c>
      <c r="I13" s="17"/>
      <c r="J13" s="17"/>
      <c r="K13" s="17">
        <f t="shared" si="3"/>
        <v>0</v>
      </c>
      <c r="L13" s="485"/>
      <c r="M13" s="17">
        <f t="shared" si="4"/>
        <v>0</v>
      </c>
      <c r="N13" s="264">
        <f t="shared" si="5"/>
        <v>0</v>
      </c>
      <c r="O13" s="17">
        <f>H13*0.28</f>
        <v>626102.4447216</v>
      </c>
      <c r="P13" s="17">
        <f t="shared" si="6"/>
        <v>2862182.6044416</v>
      </c>
      <c r="Q13" s="19"/>
      <c r="R13" s="19"/>
      <c r="S13" s="19"/>
      <c r="T13" s="20"/>
      <c r="U13" s="20"/>
      <c r="V13" s="20"/>
      <c r="W13" s="20"/>
      <c r="X13" s="263"/>
      <c r="Y13" s="263"/>
      <c r="Z13" s="263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ht="16.5" customHeight="1">
      <c r="A14" s="485"/>
      <c r="B14" s="263" t="s">
        <v>99</v>
      </c>
      <c r="C14" s="17">
        <f>ROUND(3761*1.05*1.05*1.05,0)</f>
        <v>4354</v>
      </c>
      <c r="D14" s="17">
        <f>C14*3.666667</f>
        <v>15964.668118</v>
      </c>
      <c r="E14" s="17">
        <f t="shared" si="0"/>
        <v>30478.002177000002</v>
      </c>
      <c r="F14" s="18">
        <v>1</v>
      </c>
      <c r="G14" s="17">
        <f t="shared" si="1"/>
        <v>50796.670295</v>
      </c>
      <c r="H14" s="17">
        <f t="shared" si="2"/>
        <v>609560.04354</v>
      </c>
      <c r="I14" s="17"/>
      <c r="J14" s="17"/>
      <c r="K14" s="17">
        <f t="shared" si="3"/>
        <v>0</v>
      </c>
      <c r="L14" s="485"/>
      <c r="M14" s="17">
        <f t="shared" si="4"/>
        <v>0</v>
      </c>
      <c r="N14" s="264">
        <f t="shared" si="5"/>
        <v>0</v>
      </c>
      <c r="O14" s="17">
        <f>H14*0.302</f>
        <v>184087.13314907998</v>
      </c>
      <c r="P14" s="17">
        <f t="shared" si="6"/>
        <v>793647.17668908</v>
      </c>
      <c r="Q14" s="19"/>
      <c r="R14" s="19"/>
      <c r="S14" s="19"/>
      <c r="T14" s="20"/>
      <c r="U14" s="20"/>
      <c r="V14" s="20"/>
      <c r="W14" s="20"/>
      <c r="X14" s="263"/>
      <c r="Y14" s="263"/>
      <c r="Z14" s="263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4" ht="16.5">
      <c r="A15" s="485"/>
      <c r="B15" s="263" t="s">
        <v>100</v>
      </c>
      <c r="C15" s="17">
        <v>3504</v>
      </c>
      <c r="D15" s="17">
        <f>C15*2</f>
        <v>7008</v>
      </c>
      <c r="E15" s="17">
        <f t="shared" si="0"/>
        <v>15768</v>
      </c>
      <c r="F15" s="18">
        <v>1</v>
      </c>
      <c r="G15" s="17">
        <f t="shared" si="1"/>
        <v>26280</v>
      </c>
      <c r="H15" s="17">
        <f t="shared" si="2"/>
        <v>315360</v>
      </c>
      <c r="I15" s="17"/>
      <c r="J15" s="17"/>
      <c r="K15" s="17">
        <f t="shared" si="3"/>
        <v>0</v>
      </c>
      <c r="L15" s="485"/>
      <c r="M15" s="17">
        <f t="shared" si="4"/>
        <v>0</v>
      </c>
      <c r="N15" s="264">
        <f t="shared" si="5"/>
        <v>0</v>
      </c>
      <c r="O15" s="17">
        <f>H15*0.302</f>
        <v>95238.72</v>
      </c>
      <c r="P15" s="17">
        <f t="shared" si="6"/>
        <v>410598.72</v>
      </c>
      <c r="Q15" s="19"/>
      <c r="R15" s="19"/>
      <c r="S15" s="19"/>
      <c r="T15" s="20"/>
      <c r="U15" s="20"/>
      <c r="V15" s="20"/>
      <c r="W15" s="20"/>
      <c r="X15" s="263"/>
      <c r="Y15" s="263"/>
      <c r="Z15" s="263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</row>
    <row r="16" spans="1:254" ht="16.5">
      <c r="A16" s="263" t="s">
        <v>33</v>
      </c>
      <c r="B16" s="263"/>
      <c r="C16" s="17"/>
      <c r="D16" s="17"/>
      <c r="E16" s="17"/>
      <c r="F16" s="18">
        <f>SUM(F10:F15)</f>
        <v>13</v>
      </c>
      <c r="G16" s="17">
        <f>SUM(G10:G15)</f>
        <v>857180.0593499999</v>
      </c>
      <c r="H16" s="17">
        <f>SUM(H10:H15)</f>
        <v>10286160.712199997</v>
      </c>
      <c r="I16" s="17">
        <f aca="true" t="shared" si="7" ref="I16:N16">SUM(I10:I15)</f>
        <v>0</v>
      </c>
      <c r="J16" s="17">
        <f t="shared" si="7"/>
        <v>0</v>
      </c>
      <c r="K16" s="17">
        <f t="shared" si="7"/>
        <v>0</v>
      </c>
      <c r="L16" s="17">
        <f t="shared" si="7"/>
        <v>0</v>
      </c>
      <c r="M16" s="17">
        <f t="shared" si="7"/>
        <v>0</v>
      </c>
      <c r="N16" s="17">
        <f t="shared" si="7"/>
        <v>0</v>
      </c>
      <c r="O16" s="17">
        <f>SUM(O10:O15)</f>
        <v>2900473.24037388</v>
      </c>
      <c r="P16" s="17">
        <f>SUM(P10:P15)</f>
        <v>13186633.952573879</v>
      </c>
      <c r="Q16" s="19">
        <f>P16/1000</f>
        <v>13186.633952573879</v>
      </c>
      <c r="R16" s="19">
        <f>406.4*1.055*1.05</f>
        <v>450.1896</v>
      </c>
      <c r="S16" s="19">
        <f>52.5*1.055*1.05</f>
        <v>58.156875</v>
      </c>
      <c r="T16" s="20">
        <v>468.86</v>
      </c>
      <c r="U16" s="20">
        <f>1547.2-1506.9</f>
        <v>40.299999999999955</v>
      </c>
      <c r="V16" s="20">
        <f>205.9*1.055+58.9</f>
        <v>276.1245</v>
      </c>
      <c r="W16" s="20">
        <f>495*1.055</f>
        <v>522.225</v>
      </c>
      <c r="X16" s="19">
        <f>Q16+R16+S16+T16+U16+V16+W16</f>
        <v>15002.489927573879</v>
      </c>
      <c r="Y16" s="19">
        <v>15002.489927573879</v>
      </c>
      <c r="Z16" s="19">
        <v>15002.489927573879</v>
      </c>
      <c r="AA16" s="258"/>
      <c r="AB16" s="258"/>
      <c r="AC16" s="258"/>
      <c r="AD16" s="258"/>
      <c r="AE16" s="259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</row>
    <row r="17" spans="1:254" ht="16.5">
      <c r="A17" s="485" t="s">
        <v>110</v>
      </c>
      <c r="B17" s="263" t="s">
        <v>97</v>
      </c>
      <c r="C17" s="17">
        <f>ROUND(5015*1.05*1.05*1.05,0)</f>
        <v>5805</v>
      </c>
      <c r="D17" s="17">
        <f>C17*3.666667</f>
        <v>21285.001935</v>
      </c>
      <c r="E17" s="17">
        <f>(C17+D17)*1.5</f>
        <v>40635.0029025</v>
      </c>
      <c r="F17" s="18">
        <v>1</v>
      </c>
      <c r="G17" s="17">
        <f>(C17+D17+E17)*F17</f>
        <v>67725.00483749999</v>
      </c>
      <c r="H17" s="17">
        <f>G17*12</f>
        <v>812700.0580499999</v>
      </c>
      <c r="I17" s="17"/>
      <c r="J17" s="17">
        <f>I17*4.666667</f>
        <v>0</v>
      </c>
      <c r="K17" s="17">
        <f>(I17+J17)*1.5</f>
        <v>0</v>
      </c>
      <c r="L17" s="485" t="s">
        <v>5</v>
      </c>
      <c r="M17" s="17">
        <f>(J17+K17+I17)*F17</f>
        <v>0</v>
      </c>
      <c r="N17" s="264">
        <f>M17*3</f>
        <v>0</v>
      </c>
      <c r="O17" s="17">
        <f>H17*0.28</f>
        <v>227556.016254</v>
      </c>
      <c r="P17" s="17">
        <f>O17+H17</f>
        <v>1040256.0743039999</v>
      </c>
      <c r="Q17" s="19"/>
      <c r="R17" s="19"/>
      <c r="S17" s="19"/>
      <c r="T17" s="20"/>
      <c r="U17" s="20"/>
      <c r="V17" s="20"/>
      <c r="W17" s="20"/>
      <c r="X17" s="19"/>
      <c r="Y17" s="19"/>
      <c r="Z17" s="19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pans="1:254" ht="16.5">
      <c r="A18" s="485"/>
      <c r="B18" s="263" t="s">
        <v>98</v>
      </c>
      <c r="C18" s="17">
        <f>ROUND(4599*1.05*1.05*1.05,0)</f>
        <v>5324</v>
      </c>
      <c r="D18" s="17">
        <f>C18*3.666667</f>
        <v>19521.335108</v>
      </c>
      <c r="E18" s="17">
        <f>(C18+D18)*1.5</f>
        <v>37268.002662</v>
      </c>
      <c r="F18" s="18">
        <v>1</v>
      </c>
      <c r="G18" s="17">
        <f>(C18+D18+E18)*F18</f>
        <v>62113.33777</v>
      </c>
      <c r="H18" s="17">
        <f>G18*12</f>
        <v>745360.05324</v>
      </c>
      <c r="I18" s="17"/>
      <c r="J18" s="17">
        <f>I18*4.666667</f>
        <v>0</v>
      </c>
      <c r="K18" s="17">
        <f>(I18+J18)*1.5</f>
        <v>0</v>
      </c>
      <c r="L18" s="485"/>
      <c r="M18" s="17">
        <f>(J18+K18+I18)*F18</f>
        <v>0</v>
      </c>
      <c r="N18" s="264">
        <f>M18*3</f>
        <v>0</v>
      </c>
      <c r="O18" s="17">
        <f>H18*0.28</f>
        <v>208700.81490720002</v>
      </c>
      <c r="P18" s="17">
        <f>O18+H18</f>
        <v>954060.8681472001</v>
      </c>
      <c r="Q18" s="19"/>
      <c r="R18" s="19"/>
      <c r="S18" s="19"/>
      <c r="T18" s="20"/>
      <c r="U18" s="20"/>
      <c r="V18" s="20"/>
      <c r="W18" s="20"/>
      <c r="X18" s="19"/>
      <c r="Y18" s="19"/>
      <c r="Z18" s="19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254" ht="16.5">
      <c r="A19" s="263" t="s">
        <v>33</v>
      </c>
      <c r="B19" s="263"/>
      <c r="C19" s="17"/>
      <c r="D19" s="17"/>
      <c r="E19" s="17"/>
      <c r="F19" s="18">
        <f>SUM(F17:F18)</f>
        <v>2</v>
      </c>
      <c r="G19" s="17">
        <f>SUM(G17:G18)</f>
        <v>129838.34260749999</v>
      </c>
      <c r="H19" s="17">
        <f aca="true" t="shared" si="8" ref="H19:N19">SUM(H17:H18)</f>
        <v>1558060.11129</v>
      </c>
      <c r="I19" s="17">
        <f t="shared" si="8"/>
        <v>0</v>
      </c>
      <c r="J19" s="17">
        <f t="shared" si="8"/>
        <v>0</v>
      </c>
      <c r="K19" s="17">
        <f t="shared" si="8"/>
        <v>0</v>
      </c>
      <c r="L19" s="17">
        <f t="shared" si="8"/>
        <v>0</v>
      </c>
      <c r="M19" s="17">
        <f t="shared" si="8"/>
        <v>0</v>
      </c>
      <c r="N19" s="17">
        <f t="shared" si="8"/>
        <v>0</v>
      </c>
      <c r="O19" s="17">
        <f>SUM(O17:O18)</f>
        <v>436256.8311612</v>
      </c>
      <c r="P19" s="17">
        <f>SUM(P17:P18)</f>
        <v>1994316.9424512</v>
      </c>
      <c r="Q19" s="19">
        <f>P19/1000</f>
        <v>1994.3169424512</v>
      </c>
      <c r="R19" s="19">
        <f>254.4*1.055*1.055*1.05</f>
        <v>297.311238</v>
      </c>
      <c r="S19" s="19">
        <f>27.9*1.055*1.055*1.05</f>
        <v>32.606067374999995</v>
      </c>
      <c r="T19" s="20">
        <f>56.7*1.055*1.055</f>
        <v>63.1085175</v>
      </c>
      <c r="U19" s="20">
        <v>60</v>
      </c>
      <c r="V19" s="20">
        <f>16.4*1.055*1.055+11.9</f>
        <v>30.153609999999993</v>
      </c>
      <c r="W19" s="20">
        <v>32.5</v>
      </c>
      <c r="X19" s="19">
        <f>Q19+R19+S19+T19+U19+V19+W19</f>
        <v>2509.9963753261995</v>
      </c>
      <c r="Y19" s="19">
        <v>2509.9963753261995</v>
      </c>
      <c r="Z19" s="19">
        <v>2509.9963753261995</v>
      </c>
      <c r="AA19" s="259"/>
      <c r="AB19" s="259"/>
      <c r="AC19" s="259"/>
      <c r="AD19" s="259"/>
      <c r="AE19" s="259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pans="1:254" ht="33.75" customHeight="1">
      <c r="A20" s="262" t="s">
        <v>108</v>
      </c>
      <c r="B20" s="263" t="s">
        <v>98</v>
      </c>
      <c r="C20" s="17">
        <f>ROUND(4599*1.05*1.05*1.05,0)</f>
        <v>5324</v>
      </c>
      <c r="D20" s="17">
        <f>C20*3.666667</f>
        <v>19521.335108</v>
      </c>
      <c r="E20" s="17">
        <f>(C20+D20)*1.5</f>
        <v>37268.002662</v>
      </c>
      <c r="F20" s="18">
        <f>1+1</f>
        <v>2</v>
      </c>
      <c r="G20" s="17">
        <f>(C20+D20+E20)*F20</f>
        <v>124226.67554</v>
      </c>
      <c r="H20" s="17">
        <f>G20*12</f>
        <v>1490720.10648</v>
      </c>
      <c r="I20" s="17"/>
      <c r="J20" s="17">
        <f>I20*4.666667</f>
        <v>0</v>
      </c>
      <c r="K20" s="17">
        <f>(I20+J20)*1.5</f>
        <v>0</v>
      </c>
      <c r="L20" s="262" t="s">
        <v>2</v>
      </c>
      <c r="M20" s="17">
        <f>(J20+K20+I20)*F20</f>
        <v>0</v>
      </c>
      <c r="N20" s="264">
        <f>M20*3</f>
        <v>0</v>
      </c>
      <c r="O20" s="17">
        <f>H20*0.28</f>
        <v>417401.62981440005</v>
      </c>
      <c r="P20" s="17">
        <f>O20+H20</f>
        <v>1908121.7362944002</v>
      </c>
      <c r="Q20" s="19"/>
      <c r="R20" s="19"/>
      <c r="S20" s="19"/>
      <c r="T20" s="20"/>
      <c r="U20" s="20"/>
      <c r="V20" s="20"/>
      <c r="W20" s="20"/>
      <c r="X20" s="19"/>
      <c r="Y20" s="19"/>
      <c r="Z20" s="19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1:254" ht="16.5">
      <c r="A21" s="263" t="s">
        <v>33</v>
      </c>
      <c r="B21" s="263"/>
      <c r="C21" s="17"/>
      <c r="D21" s="17"/>
      <c r="E21" s="17"/>
      <c r="F21" s="18">
        <f>SUM(F20:F20)</f>
        <v>2</v>
      </c>
      <c r="G21" s="17">
        <f>SUM(G20:G20)</f>
        <v>124226.67554</v>
      </c>
      <c r="H21" s="17">
        <f aca="true" t="shared" si="9" ref="H21:N21">SUM(H20:H20)</f>
        <v>1490720.10648</v>
      </c>
      <c r="I21" s="17">
        <f t="shared" si="9"/>
        <v>0</v>
      </c>
      <c r="J21" s="17">
        <f t="shared" si="9"/>
        <v>0</v>
      </c>
      <c r="K21" s="17">
        <f t="shared" si="9"/>
        <v>0</v>
      </c>
      <c r="L21" s="17">
        <f t="shared" si="9"/>
        <v>0</v>
      </c>
      <c r="M21" s="17">
        <f t="shared" si="9"/>
        <v>0</v>
      </c>
      <c r="N21" s="17">
        <f t="shared" si="9"/>
        <v>0</v>
      </c>
      <c r="O21" s="17">
        <f>SUM(O20:O20)</f>
        <v>417401.62981440005</v>
      </c>
      <c r="P21" s="17">
        <f>SUM(P20:P20)</f>
        <v>1908121.7362944002</v>
      </c>
      <c r="Q21" s="19">
        <f>P21/1000</f>
        <v>1908.1217362944</v>
      </c>
      <c r="R21" s="19">
        <f>(121+57.5)*1.05</f>
        <v>187.425</v>
      </c>
      <c r="S21" s="19">
        <f>35.5*1.05</f>
        <v>37.275</v>
      </c>
      <c r="T21" s="20">
        <f>51.6*1.055</f>
        <v>54.437999999999995</v>
      </c>
      <c r="U21" s="20">
        <v>60</v>
      </c>
      <c r="V21" s="20">
        <f>177+8.7</f>
        <v>185.7</v>
      </c>
      <c r="W21" s="20">
        <v>30</v>
      </c>
      <c r="X21" s="19">
        <f>Q21+R21+S21+T21+U21+V21+W21</f>
        <v>2462.9597362944</v>
      </c>
      <c r="Y21" s="19">
        <v>2462.9597362944</v>
      </c>
      <c r="Z21" s="19">
        <v>2462.9597362944</v>
      </c>
      <c r="AA21" s="259"/>
      <c r="AB21" s="259"/>
      <c r="AC21" s="259"/>
      <c r="AD21" s="259"/>
      <c r="AE21" s="259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ht="16.5" customHeight="1">
      <c r="A22" s="485" t="s">
        <v>113</v>
      </c>
      <c r="B22" s="263" t="s">
        <v>97</v>
      </c>
      <c r="C22" s="17">
        <f>ROUND(5015*1.05*1.05*1.05,0)</f>
        <v>5805</v>
      </c>
      <c r="D22" s="17">
        <f>C22*3.666667</f>
        <v>21285.001935</v>
      </c>
      <c r="E22" s="17">
        <f>(C22+D22)*1.5</f>
        <v>40635.0029025</v>
      </c>
      <c r="F22" s="18">
        <v>1</v>
      </c>
      <c r="G22" s="17">
        <f>(C22+D22+E22)*F22</f>
        <v>67725.00483749999</v>
      </c>
      <c r="H22" s="17">
        <f>G22*12</f>
        <v>812700.0580499999</v>
      </c>
      <c r="I22" s="17"/>
      <c r="J22" s="17">
        <f>I22*4.666667</f>
        <v>0</v>
      </c>
      <c r="K22" s="17">
        <f>(I22+J22)*1.5</f>
        <v>0</v>
      </c>
      <c r="L22" s="485" t="s">
        <v>0</v>
      </c>
      <c r="M22" s="17">
        <f>(J22+K22+I22)*F22</f>
        <v>0</v>
      </c>
      <c r="N22" s="264">
        <f>M22*3</f>
        <v>0</v>
      </c>
      <c r="O22" s="17">
        <f>H22*0.28</f>
        <v>227556.016254</v>
      </c>
      <c r="P22" s="17">
        <f>O22+H22</f>
        <v>1040256.0743039999</v>
      </c>
      <c r="Q22" s="19"/>
      <c r="R22" s="19"/>
      <c r="S22" s="19"/>
      <c r="T22" s="20"/>
      <c r="U22" s="20"/>
      <c r="V22" s="20"/>
      <c r="W22" s="20"/>
      <c r="X22" s="19"/>
      <c r="Y22" s="19"/>
      <c r="Z22" s="19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ht="16.5">
      <c r="A23" s="485"/>
      <c r="B23" s="263" t="s">
        <v>98</v>
      </c>
      <c r="C23" s="17">
        <f>ROUND(4599*1.05*1.05*1.05,0)</f>
        <v>5324</v>
      </c>
      <c r="D23" s="17">
        <f>C23*3.666667</f>
        <v>19521.335108</v>
      </c>
      <c r="E23" s="17">
        <f>(C23+D23)*1.5</f>
        <v>37268.002662</v>
      </c>
      <c r="F23" s="18">
        <f>1+1</f>
        <v>2</v>
      </c>
      <c r="G23" s="17">
        <f>(C23+D23+E23)*F23</f>
        <v>124226.67554</v>
      </c>
      <c r="H23" s="17">
        <f>G23*12</f>
        <v>1490720.10648</v>
      </c>
      <c r="I23" s="17"/>
      <c r="J23" s="17">
        <f>I23*4.666667</f>
        <v>0</v>
      </c>
      <c r="K23" s="17">
        <f>(I23+J23)*1.5</f>
        <v>0</v>
      </c>
      <c r="L23" s="485"/>
      <c r="M23" s="17">
        <f>(J23+K23+I23)*F23</f>
        <v>0</v>
      </c>
      <c r="N23" s="264">
        <f>M23*3</f>
        <v>0</v>
      </c>
      <c r="O23" s="17">
        <f>H23*0.28</f>
        <v>417401.62981440005</v>
      </c>
      <c r="P23" s="17">
        <f>O23+H23</f>
        <v>1908121.7362944002</v>
      </c>
      <c r="Q23" s="19"/>
      <c r="R23" s="19"/>
      <c r="S23" s="19"/>
      <c r="T23" s="20"/>
      <c r="U23" s="20"/>
      <c r="V23" s="20"/>
      <c r="W23" s="20"/>
      <c r="X23" s="19"/>
      <c r="Y23" s="19"/>
      <c r="Z23" s="19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ht="16.5">
      <c r="A24" s="265" t="s">
        <v>33</v>
      </c>
      <c r="B24" s="263"/>
      <c r="C24" s="17"/>
      <c r="D24" s="17"/>
      <c r="E24" s="17"/>
      <c r="F24" s="18">
        <f>SUM(F22:F23)</f>
        <v>3</v>
      </c>
      <c r="G24" s="17">
        <f>SUM(G22:G23)</f>
        <v>191951.6803775</v>
      </c>
      <c r="H24" s="17">
        <f aca="true" t="shared" si="10" ref="H24:N24">SUM(H22:H23)</f>
        <v>2303420.1645299997</v>
      </c>
      <c r="I24" s="17">
        <f t="shared" si="10"/>
        <v>0</v>
      </c>
      <c r="J24" s="17">
        <f t="shared" si="10"/>
        <v>0</v>
      </c>
      <c r="K24" s="17">
        <f t="shared" si="10"/>
        <v>0</v>
      </c>
      <c r="L24" s="17">
        <f t="shared" si="10"/>
        <v>0</v>
      </c>
      <c r="M24" s="17">
        <f t="shared" si="10"/>
        <v>0</v>
      </c>
      <c r="N24" s="17">
        <f t="shared" si="10"/>
        <v>0</v>
      </c>
      <c r="O24" s="17">
        <f>SUM(O22:O23)</f>
        <v>644957.6460684</v>
      </c>
      <c r="P24" s="17">
        <f>SUM(P22:P23)</f>
        <v>2948377.8105984</v>
      </c>
      <c r="Q24" s="19">
        <f>P24/1000</f>
        <v>2948.3778105984</v>
      </c>
      <c r="R24" s="19">
        <f>96.1*1.055*1.055*1.05</f>
        <v>112.30978762499998</v>
      </c>
      <c r="S24" s="19">
        <f>44.5*1.055*1.05</f>
        <v>49.294875</v>
      </c>
      <c r="T24" s="20">
        <f>54.8*1.055</f>
        <v>57.81399999999999</v>
      </c>
      <c r="U24" s="20">
        <f>27.4*1.055</f>
        <v>28.906999999999996</v>
      </c>
      <c r="V24" s="20">
        <f>119.7*1.055+14.5</f>
        <v>140.7835</v>
      </c>
      <c r="W24" s="20">
        <v>32.5</v>
      </c>
      <c r="X24" s="19">
        <f>Q24+R24+S24+T24+U24+V24+W24</f>
        <v>3369.9869732234</v>
      </c>
      <c r="Y24" s="19">
        <v>3369.9869732234</v>
      </c>
      <c r="Z24" s="19">
        <v>3369.9869732234</v>
      </c>
      <c r="AA24" s="259"/>
      <c r="AB24" s="259"/>
      <c r="AC24" s="259"/>
      <c r="AD24" s="259"/>
      <c r="AE24" s="259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ht="33.75" customHeight="1">
      <c r="A25" s="262" t="s">
        <v>116</v>
      </c>
      <c r="B25" s="263" t="s">
        <v>98</v>
      </c>
      <c r="C25" s="17">
        <f>ROUND(4599*1.05*1.05*1.05,0)</f>
        <v>5324</v>
      </c>
      <c r="D25" s="17">
        <f>C25*3.666667</f>
        <v>19521.335108</v>
      </c>
      <c r="E25" s="17">
        <f>(C25+D25)*1.7</f>
        <v>42237.0696836</v>
      </c>
      <c r="F25" s="18">
        <f>1+1</f>
        <v>2</v>
      </c>
      <c r="G25" s="17">
        <f>(C25+D25+E25)*F25</f>
        <v>134164.8095832</v>
      </c>
      <c r="H25" s="17">
        <f>G25*12</f>
        <v>1609977.7149983998</v>
      </c>
      <c r="I25" s="17"/>
      <c r="J25" s="17">
        <f>I25*4.666667</f>
        <v>0</v>
      </c>
      <c r="K25" s="17">
        <f>(I25+J25)*1.5</f>
        <v>0</v>
      </c>
      <c r="L25" s="262" t="s">
        <v>1</v>
      </c>
      <c r="M25" s="17">
        <f>(J25+K25+I25)*F25</f>
        <v>0</v>
      </c>
      <c r="N25" s="264">
        <f>M25*3</f>
        <v>0</v>
      </c>
      <c r="O25" s="17">
        <f>H25*0.28</f>
        <v>450793.760199552</v>
      </c>
      <c r="P25" s="17">
        <f>O25+H25</f>
        <v>2060771.4751979518</v>
      </c>
      <c r="Q25" s="19"/>
      <c r="R25" s="19"/>
      <c r="S25" s="19"/>
      <c r="T25" s="20"/>
      <c r="U25" s="20"/>
      <c r="V25" s="20"/>
      <c r="W25" s="20"/>
      <c r="X25" s="19"/>
      <c r="Y25" s="19"/>
      <c r="Z25" s="19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ht="16.5" customHeight="1">
      <c r="A26" s="263" t="s">
        <v>33</v>
      </c>
      <c r="B26" s="263"/>
      <c r="C26" s="17"/>
      <c r="D26" s="17"/>
      <c r="E26" s="17"/>
      <c r="F26" s="18">
        <f>SUM(F25:F25)</f>
        <v>2</v>
      </c>
      <c r="G26" s="17">
        <f>SUM(G25:G25)</f>
        <v>134164.8095832</v>
      </c>
      <c r="H26" s="17">
        <f aca="true" t="shared" si="11" ref="H26:N26">SUM(H25:H25)</f>
        <v>1609977.7149983998</v>
      </c>
      <c r="I26" s="17">
        <f t="shared" si="11"/>
        <v>0</v>
      </c>
      <c r="J26" s="17">
        <f t="shared" si="11"/>
        <v>0</v>
      </c>
      <c r="K26" s="17">
        <f t="shared" si="11"/>
        <v>0</v>
      </c>
      <c r="L26" s="17">
        <f t="shared" si="11"/>
        <v>0</v>
      </c>
      <c r="M26" s="17">
        <f t="shared" si="11"/>
        <v>0</v>
      </c>
      <c r="N26" s="17">
        <f t="shared" si="11"/>
        <v>0</v>
      </c>
      <c r="O26" s="17">
        <f>SUM(O25:O25)</f>
        <v>450793.760199552</v>
      </c>
      <c r="P26" s="17">
        <f>SUM(P25:P25)</f>
        <v>2060771.4751979518</v>
      </c>
      <c r="Q26" s="19">
        <f>P26/1000</f>
        <v>2060.771475197952</v>
      </c>
      <c r="R26" s="19">
        <f>91.8*1.055*1.055*1.05</f>
        <v>107.28447974999997</v>
      </c>
      <c r="S26" s="19">
        <f>17.9*1.055*1.055*1.05</f>
        <v>20.919304874999995</v>
      </c>
      <c r="T26" s="20">
        <v>0</v>
      </c>
      <c r="U26" s="20">
        <v>0</v>
      </c>
      <c r="V26" s="20">
        <f>15.4*1.055*1.055+8.9</f>
        <v>26.040585</v>
      </c>
      <c r="W26" s="20">
        <v>30</v>
      </c>
      <c r="X26" s="19">
        <f>Q26+R26+S26+T26+U26+V26+W26</f>
        <v>2245.015844822952</v>
      </c>
      <c r="Y26" s="19">
        <v>2245.015844822952</v>
      </c>
      <c r="Z26" s="19">
        <v>2245.015844822952</v>
      </c>
      <c r="AA26" s="16"/>
      <c r="AB26" s="16"/>
      <c r="AC26" s="16"/>
      <c r="AD26" s="16"/>
      <c r="AE26" s="259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ht="16.5" customHeight="1">
      <c r="A27" s="485" t="s">
        <v>117</v>
      </c>
      <c r="B27" s="263" t="s">
        <v>97</v>
      </c>
      <c r="C27" s="17">
        <f>ROUND(5015*1.05*1.05*1.05,0)</f>
        <v>5805</v>
      </c>
      <c r="D27" s="17">
        <f>C27*3.666667</f>
        <v>21285.001935</v>
      </c>
      <c r="E27" s="17">
        <f>(C27+D27)*1.5</f>
        <v>40635.0029025</v>
      </c>
      <c r="F27" s="18">
        <v>1</v>
      </c>
      <c r="G27" s="17">
        <f>(C27+D27+E27)*F27</f>
        <v>67725.00483749999</v>
      </c>
      <c r="H27" s="17">
        <f>G27*12</f>
        <v>812700.0580499999</v>
      </c>
      <c r="I27" s="17"/>
      <c r="J27" s="17">
        <f>I27*4.666667</f>
        <v>0</v>
      </c>
      <c r="K27" s="17">
        <f>(I27+J27)*1.5</f>
        <v>0</v>
      </c>
      <c r="L27" s="485" t="s">
        <v>11</v>
      </c>
      <c r="M27" s="17">
        <f>(J27+K27+I27)*F27</f>
        <v>0</v>
      </c>
      <c r="N27" s="264">
        <f>M27*3</f>
        <v>0</v>
      </c>
      <c r="O27" s="17">
        <f>H27*0.28</f>
        <v>227556.016254</v>
      </c>
      <c r="P27" s="17">
        <f>O27+H27</f>
        <v>1040256.0743039999</v>
      </c>
      <c r="Q27" s="19"/>
      <c r="R27" s="19"/>
      <c r="S27" s="19"/>
      <c r="T27" s="20"/>
      <c r="U27" s="20"/>
      <c r="V27" s="20"/>
      <c r="W27" s="20"/>
      <c r="X27" s="19"/>
      <c r="Y27" s="19"/>
      <c r="Z27" s="1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ht="16.5">
      <c r="A28" s="485"/>
      <c r="B28" s="263" t="s">
        <v>98</v>
      </c>
      <c r="C28" s="17">
        <f>ROUND(4599*1.05*1.05*1.05,0)</f>
        <v>5324</v>
      </c>
      <c r="D28" s="17">
        <f>C28*3.666667</f>
        <v>19521.335108</v>
      </c>
      <c r="E28" s="17">
        <f>(C28+D28)*1.5</f>
        <v>37268.002662</v>
      </c>
      <c r="F28" s="18">
        <v>1</v>
      </c>
      <c r="G28" s="17">
        <f>(C28+D28+E28)*F28</f>
        <v>62113.33777</v>
      </c>
      <c r="H28" s="17">
        <f>G28*12</f>
        <v>745360.05324</v>
      </c>
      <c r="I28" s="17"/>
      <c r="J28" s="17">
        <f>I28*4.666667</f>
        <v>0</v>
      </c>
      <c r="K28" s="17">
        <f>(I28+J28)*1.5</f>
        <v>0</v>
      </c>
      <c r="L28" s="485"/>
      <c r="M28" s="17">
        <f>(J28+K28+I28)*F28</f>
        <v>0</v>
      </c>
      <c r="N28" s="264">
        <f>M28*3</f>
        <v>0</v>
      </c>
      <c r="O28" s="17">
        <f>H28*0.28</f>
        <v>208700.81490720002</v>
      </c>
      <c r="P28" s="17">
        <f>O28+H28</f>
        <v>954060.8681472001</v>
      </c>
      <c r="Q28" s="19"/>
      <c r="R28" s="19"/>
      <c r="S28" s="19"/>
      <c r="T28" s="20"/>
      <c r="U28" s="20"/>
      <c r="V28" s="20"/>
      <c r="W28" s="20"/>
      <c r="X28" s="19"/>
      <c r="Y28" s="19"/>
      <c r="Z28" s="19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ht="16.5">
      <c r="A29" s="263" t="s">
        <v>33</v>
      </c>
      <c r="B29" s="263"/>
      <c r="C29" s="17"/>
      <c r="D29" s="17"/>
      <c r="E29" s="17"/>
      <c r="F29" s="18">
        <f>SUM(F27:F28)</f>
        <v>2</v>
      </c>
      <c r="G29" s="17">
        <f>SUM(G27:G28)</f>
        <v>129838.34260749999</v>
      </c>
      <c r="H29" s="17">
        <f aca="true" t="shared" si="12" ref="H29:N29">SUM(H27:H28)</f>
        <v>1558060.11129</v>
      </c>
      <c r="I29" s="17">
        <f t="shared" si="12"/>
        <v>0</v>
      </c>
      <c r="J29" s="17">
        <f t="shared" si="12"/>
        <v>0</v>
      </c>
      <c r="K29" s="17">
        <f t="shared" si="12"/>
        <v>0</v>
      </c>
      <c r="L29" s="17">
        <f t="shared" si="12"/>
        <v>0</v>
      </c>
      <c r="M29" s="17">
        <f t="shared" si="12"/>
        <v>0</v>
      </c>
      <c r="N29" s="17">
        <f t="shared" si="12"/>
        <v>0</v>
      </c>
      <c r="O29" s="17">
        <f>SUM(O27:O28)</f>
        <v>436256.8311612</v>
      </c>
      <c r="P29" s="17">
        <f>SUM(P27:P28)</f>
        <v>1994316.9424512</v>
      </c>
      <c r="Q29" s="19">
        <f>P29/1000</f>
        <v>1994.3169424512</v>
      </c>
      <c r="R29" s="19">
        <f>(105.6+28)*1.05</f>
        <v>140.28</v>
      </c>
      <c r="S29" s="19">
        <f>27.2*1.05</f>
        <v>28.56</v>
      </c>
      <c r="T29" s="20">
        <v>0</v>
      </c>
      <c r="U29" s="20">
        <v>0</v>
      </c>
      <c r="V29" s="20">
        <f>123.2+6.1</f>
        <v>129.3</v>
      </c>
      <c r="W29" s="20">
        <v>32.5</v>
      </c>
      <c r="X29" s="19">
        <f>Q29+R29+S29+T29+U29+V29+W29</f>
        <v>2324.9569424512</v>
      </c>
      <c r="Y29" s="19">
        <v>2324.9569424512</v>
      </c>
      <c r="Z29" s="19">
        <v>2324.9569424512</v>
      </c>
      <c r="AA29" s="258"/>
      <c r="AB29" s="259"/>
      <c r="AC29" s="259"/>
      <c r="AD29" s="259"/>
      <c r="AE29" s="259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16.5" customHeight="1">
      <c r="A30" s="485" t="s">
        <v>118</v>
      </c>
      <c r="B30" s="263" t="s">
        <v>97</v>
      </c>
      <c r="C30" s="17">
        <f>ROUND(5015*1.05*1.05*1.05,0)</f>
        <v>5805</v>
      </c>
      <c r="D30" s="17">
        <f>C30*3.666667</f>
        <v>21285.001935</v>
      </c>
      <c r="E30" s="17">
        <f>(C30+D30)*1.5</f>
        <v>40635.0029025</v>
      </c>
      <c r="F30" s="18">
        <v>1</v>
      </c>
      <c r="G30" s="17">
        <f>(C30+D30+E30)*F30</f>
        <v>67725.00483749999</v>
      </c>
      <c r="H30" s="17">
        <f>G30*12</f>
        <v>812700.0580499999</v>
      </c>
      <c r="I30" s="17"/>
      <c r="J30" s="17">
        <f>I30*4.666667</f>
        <v>0</v>
      </c>
      <c r="K30" s="17">
        <f>(I30+J30)*1.5</f>
        <v>0</v>
      </c>
      <c r="L30" s="485" t="s">
        <v>6</v>
      </c>
      <c r="M30" s="17">
        <f>(J30+K30+I30)*F30</f>
        <v>0</v>
      </c>
      <c r="N30" s="264">
        <f>M30*3</f>
        <v>0</v>
      </c>
      <c r="O30" s="17">
        <f>H30*0.28</f>
        <v>227556.016254</v>
      </c>
      <c r="P30" s="17">
        <f>O30+H30</f>
        <v>1040256.0743039999</v>
      </c>
      <c r="Q30" s="19"/>
      <c r="R30" s="19"/>
      <c r="S30" s="19"/>
      <c r="T30" s="20"/>
      <c r="U30" s="20"/>
      <c r="V30" s="20"/>
      <c r="W30" s="20"/>
      <c r="X30" s="19"/>
      <c r="Y30" s="19"/>
      <c r="Z30" s="1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16.5">
      <c r="A31" s="485"/>
      <c r="B31" s="263" t="s">
        <v>98</v>
      </c>
      <c r="C31" s="17">
        <f>ROUND(4599*1.05*1.05*1.05,0)</f>
        <v>5324</v>
      </c>
      <c r="D31" s="17">
        <f>C31*3.666667</f>
        <v>19521.335108</v>
      </c>
      <c r="E31" s="17">
        <f>(C31+D31)*1.5</f>
        <v>37268.002662</v>
      </c>
      <c r="F31" s="18">
        <v>1</v>
      </c>
      <c r="G31" s="17">
        <f>(C31+D31+E31)*F31</f>
        <v>62113.33777</v>
      </c>
      <c r="H31" s="17">
        <f>G31*12</f>
        <v>745360.05324</v>
      </c>
      <c r="I31" s="17"/>
      <c r="J31" s="17">
        <f>I31*4.666667</f>
        <v>0</v>
      </c>
      <c r="K31" s="17">
        <f>(I31+J31)*1.5</f>
        <v>0</v>
      </c>
      <c r="L31" s="485"/>
      <c r="M31" s="17">
        <f>(J31+K31+I31)*F31</f>
        <v>0</v>
      </c>
      <c r="N31" s="264">
        <f>M31*3</f>
        <v>0</v>
      </c>
      <c r="O31" s="17">
        <f>H31*0.28</f>
        <v>208700.81490720002</v>
      </c>
      <c r="P31" s="17">
        <f>O31+H31</f>
        <v>954060.8681472001</v>
      </c>
      <c r="Q31" s="19"/>
      <c r="R31" s="19"/>
      <c r="S31" s="19"/>
      <c r="T31" s="20"/>
      <c r="U31" s="20"/>
      <c r="V31" s="20"/>
      <c r="W31" s="20"/>
      <c r="X31" s="19"/>
      <c r="Y31" s="19"/>
      <c r="Z31" s="19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ht="16.5">
      <c r="A32" s="263" t="s">
        <v>33</v>
      </c>
      <c r="B32" s="263"/>
      <c r="C32" s="17"/>
      <c r="D32" s="17"/>
      <c r="E32" s="17"/>
      <c r="F32" s="18">
        <f>SUM(F30:F31)</f>
        <v>2</v>
      </c>
      <c r="G32" s="17">
        <f>SUM(G30:G31)</f>
        <v>129838.34260749999</v>
      </c>
      <c r="H32" s="17">
        <f aca="true" t="shared" si="13" ref="H32:N32">SUM(H30:H31)</f>
        <v>1558060.11129</v>
      </c>
      <c r="I32" s="17">
        <f t="shared" si="13"/>
        <v>0</v>
      </c>
      <c r="J32" s="17">
        <f t="shared" si="13"/>
        <v>0</v>
      </c>
      <c r="K32" s="17">
        <f t="shared" si="13"/>
        <v>0</v>
      </c>
      <c r="L32" s="17">
        <f t="shared" si="13"/>
        <v>0</v>
      </c>
      <c r="M32" s="17">
        <f t="shared" si="13"/>
        <v>0</v>
      </c>
      <c r="N32" s="17">
        <f t="shared" si="13"/>
        <v>0</v>
      </c>
      <c r="O32" s="17">
        <f>SUM(O30:O31)</f>
        <v>436256.8311612</v>
      </c>
      <c r="P32" s="17">
        <f>SUM(P30:P31)</f>
        <v>1994316.9424512</v>
      </c>
      <c r="Q32" s="19">
        <f>P32/1000</f>
        <v>1994.3169424512</v>
      </c>
      <c r="R32" s="19">
        <f>86.4*1.055*1.05</f>
        <v>95.70960000000001</v>
      </c>
      <c r="S32" s="19">
        <f>26.2*1.05</f>
        <v>27.51</v>
      </c>
      <c r="T32" s="20">
        <v>18.1</v>
      </c>
      <c r="U32" s="20">
        <v>12</v>
      </c>
      <c r="V32" s="20">
        <f>50+5.9</f>
        <v>55.9</v>
      </c>
      <c r="W32" s="20">
        <v>32.5</v>
      </c>
      <c r="X32" s="19">
        <f>Q32+R32+S32+T32+U32+V32+W32</f>
        <v>2236.0365424512</v>
      </c>
      <c r="Y32" s="19">
        <v>2236.0365424512</v>
      </c>
      <c r="Z32" s="19">
        <v>2236.0365424512</v>
      </c>
      <c r="AA32" s="259"/>
      <c r="AB32" s="259"/>
      <c r="AC32" s="259"/>
      <c r="AD32" s="259"/>
      <c r="AE32" s="259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ht="16.5" customHeight="1">
      <c r="A33" s="485" t="s">
        <v>119</v>
      </c>
      <c r="B33" s="263" t="s">
        <v>97</v>
      </c>
      <c r="C33" s="17">
        <f>ROUND(5015*1.05*1.05*1.05,0)</f>
        <v>5805</v>
      </c>
      <c r="D33" s="17">
        <f>C33*3.666667</f>
        <v>21285.001935</v>
      </c>
      <c r="E33" s="17">
        <f>(C33+D33)*1.5</f>
        <v>40635.0029025</v>
      </c>
      <c r="F33" s="18">
        <v>1</v>
      </c>
      <c r="G33" s="17">
        <f>(C33+D33+E33)*F33</f>
        <v>67725.00483749999</v>
      </c>
      <c r="H33" s="17">
        <f>G33*12</f>
        <v>812700.0580499999</v>
      </c>
      <c r="I33" s="17"/>
      <c r="J33" s="17">
        <f>I33*4.666667</f>
        <v>0</v>
      </c>
      <c r="K33" s="17">
        <f>(I33+J33)*1.5</f>
        <v>0</v>
      </c>
      <c r="L33" s="485" t="s">
        <v>7</v>
      </c>
      <c r="M33" s="17">
        <f>(J33+K33+I33)*F33</f>
        <v>0</v>
      </c>
      <c r="N33" s="264">
        <f>M33*3</f>
        <v>0</v>
      </c>
      <c r="O33" s="17">
        <f>H33*0.28</f>
        <v>227556.016254</v>
      </c>
      <c r="P33" s="17">
        <f>O33+H33</f>
        <v>1040256.0743039999</v>
      </c>
      <c r="Q33" s="19"/>
      <c r="R33" s="19"/>
      <c r="S33" s="19"/>
      <c r="T33" s="20"/>
      <c r="U33" s="20"/>
      <c r="V33" s="20"/>
      <c r="W33" s="20"/>
      <c r="X33" s="19"/>
      <c r="Y33" s="19"/>
      <c r="Z33" s="19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ht="16.5">
      <c r="A34" s="485"/>
      <c r="B34" s="263" t="s">
        <v>98</v>
      </c>
      <c r="C34" s="17">
        <f>ROUND(4599*1.05*1.05*1.05,0)</f>
        <v>5324</v>
      </c>
      <c r="D34" s="17">
        <f>C34*3.666667</f>
        <v>19521.335108</v>
      </c>
      <c r="E34" s="17">
        <f>(C34+D34)*1.5</f>
        <v>37268.002662</v>
      </c>
      <c r="F34" s="18">
        <v>1</v>
      </c>
      <c r="G34" s="17">
        <f>(C34+D34+E34)*F34</f>
        <v>62113.33777</v>
      </c>
      <c r="H34" s="17">
        <f>G34*12</f>
        <v>745360.05324</v>
      </c>
      <c r="I34" s="17"/>
      <c r="J34" s="17">
        <f>I34*4.666667</f>
        <v>0</v>
      </c>
      <c r="K34" s="17">
        <f>(I34+J34)*1.5</f>
        <v>0</v>
      </c>
      <c r="L34" s="485"/>
      <c r="M34" s="17">
        <f>(J34+K34+I34)*F34</f>
        <v>0</v>
      </c>
      <c r="N34" s="264">
        <f>M34*3</f>
        <v>0</v>
      </c>
      <c r="O34" s="17">
        <f>H34*0.28</f>
        <v>208700.81490720002</v>
      </c>
      <c r="P34" s="17">
        <f>O34+H34</f>
        <v>954060.8681472001</v>
      </c>
      <c r="Q34" s="19"/>
      <c r="R34" s="19"/>
      <c r="S34" s="19"/>
      <c r="T34" s="20"/>
      <c r="U34" s="20"/>
      <c r="V34" s="20"/>
      <c r="W34" s="20"/>
      <c r="X34" s="19"/>
      <c r="Y34" s="19"/>
      <c r="Z34" s="19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ht="16.5">
      <c r="A35" s="263" t="s">
        <v>33</v>
      </c>
      <c r="B35" s="263"/>
      <c r="C35" s="17"/>
      <c r="D35" s="17"/>
      <c r="E35" s="17"/>
      <c r="F35" s="18">
        <f>SUM(F33:F34)</f>
        <v>2</v>
      </c>
      <c r="G35" s="17">
        <f>SUM(G33:G34)</f>
        <v>129838.34260749999</v>
      </c>
      <c r="H35" s="17">
        <f aca="true" t="shared" si="14" ref="H35:N35">SUM(H33:H34)</f>
        <v>1558060.11129</v>
      </c>
      <c r="I35" s="17">
        <f t="shared" si="14"/>
        <v>0</v>
      </c>
      <c r="J35" s="17">
        <f t="shared" si="14"/>
        <v>0</v>
      </c>
      <c r="K35" s="17">
        <f t="shared" si="14"/>
        <v>0</v>
      </c>
      <c r="L35" s="17">
        <f t="shared" si="14"/>
        <v>0</v>
      </c>
      <c r="M35" s="17">
        <f t="shared" si="14"/>
        <v>0</v>
      </c>
      <c r="N35" s="17">
        <f t="shared" si="14"/>
        <v>0</v>
      </c>
      <c r="O35" s="17">
        <f>SUM(O33:O34)</f>
        <v>436256.8311612</v>
      </c>
      <c r="P35" s="17">
        <f>SUM(P33:P34)</f>
        <v>1994316.9424512</v>
      </c>
      <c r="Q35" s="19">
        <f>P35/1000</f>
        <v>1994.3169424512</v>
      </c>
      <c r="R35" s="19">
        <f>(87+53.4+35)*1.055*1.055*1.05</f>
        <v>204.98581425</v>
      </c>
      <c r="S35" s="19">
        <f>28.8*1.055*1.055*1.05</f>
        <v>33.657875999999995</v>
      </c>
      <c r="T35" s="20">
        <f>16.9*1.055*1.055</f>
        <v>18.810122499999995</v>
      </c>
      <c r="U35" s="20">
        <f>34.1*1.055*1.055</f>
        <v>37.95415249999999</v>
      </c>
      <c r="V35" s="20">
        <f>28.5*1.055*1.055-0.1+6.2</f>
        <v>37.821212499999994</v>
      </c>
      <c r="W35" s="20">
        <v>32.5</v>
      </c>
      <c r="X35" s="19">
        <f>Q35+R35+S35+T35+U35+V35+W35</f>
        <v>2360.0461202012</v>
      </c>
      <c r="Y35" s="19">
        <v>2360.0461202012</v>
      </c>
      <c r="Z35" s="19">
        <v>2360.0461202012</v>
      </c>
      <c r="AA35" s="16"/>
      <c r="AB35" s="16"/>
      <c r="AC35" s="16"/>
      <c r="AD35" s="16"/>
      <c r="AE35" s="259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ht="16.5">
      <c r="A36" s="485" t="s">
        <v>120</v>
      </c>
      <c r="B36" s="263" t="s">
        <v>101</v>
      </c>
      <c r="C36" s="17">
        <f>ROUND(5332*1.05*1.05*1.05,0)</f>
        <v>6172</v>
      </c>
      <c r="D36" s="17">
        <f>C36*3.666667</f>
        <v>22630.668724</v>
      </c>
      <c r="E36" s="17">
        <f>(C36+D36)*1.5</f>
        <v>43204.003086</v>
      </c>
      <c r="F36" s="18">
        <v>1</v>
      </c>
      <c r="G36" s="17">
        <f>(C36+D36+E36)*F36</f>
        <v>72006.67181</v>
      </c>
      <c r="H36" s="17">
        <f>G36*12</f>
        <v>864080.06172</v>
      </c>
      <c r="I36" s="17"/>
      <c r="J36" s="17">
        <f>I36*4.666667</f>
        <v>0</v>
      </c>
      <c r="K36" s="17">
        <f>(I36+J36)*1.5</f>
        <v>0</v>
      </c>
      <c r="L36" s="485" t="s">
        <v>8</v>
      </c>
      <c r="M36" s="17">
        <f>(J36+K36+I36)*F36</f>
        <v>0</v>
      </c>
      <c r="N36" s="264">
        <f>M36*3</f>
        <v>0</v>
      </c>
      <c r="O36" s="17">
        <f>H36*0.28</f>
        <v>241942.41728160004</v>
      </c>
      <c r="P36" s="17">
        <f>O36+H36</f>
        <v>1106022.4790016</v>
      </c>
      <c r="Q36" s="19"/>
      <c r="R36" s="19"/>
      <c r="S36" s="19"/>
      <c r="T36" s="20"/>
      <c r="U36" s="20"/>
      <c r="V36" s="20"/>
      <c r="W36" s="20"/>
      <c r="X36" s="19"/>
      <c r="Y36" s="19"/>
      <c r="Z36" s="1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ht="16.5">
      <c r="A37" s="485"/>
      <c r="B37" s="263" t="s">
        <v>98</v>
      </c>
      <c r="C37" s="17">
        <f>ROUND(4599*1.05*1.05*1.05,0)</f>
        <v>5324</v>
      </c>
      <c r="D37" s="17">
        <f>C37*3.666667</f>
        <v>19521.335108</v>
      </c>
      <c r="E37" s="17">
        <f>(C37+D37)*1.5</f>
        <v>37268.002662</v>
      </c>
      <c r="F37" s="18">
        <f>1+1</f>
        <v>2</v>
      </c>
      <c r="G37" s="17">
        <f>(C37+D37+E37)*F37</f>
        <v>124226.67554</v>
      </c>
      <c r="H37" s="17">
        <f>G37*12</f>
        <v>1490720.10648</v>
      </c>
      <c r="I37" s="17"/>
      <c r="J37" s="17">
        <f>I37*4.666667</f>
        <v>0</v>
      </c>
      <c r="K37" s="17">
        <f>(I37+J37)*1.5</f>
        <v>0</v>
      </c>
      <c r="L37" s="485"/>
      <c r="M37" s="17">
        <f>(J37+K37+I37)*F37</f>
        <v>0</v>
      </c>
      <c r="N37" s="264">
        <f>M37*3</f>
        <v>0</v>
      </c>
      <c r="O37" s="17">
        <f>H37*0.28</f>
        <v>417401.62981440005</v>
      </c>
      <c r="P37" s="17">
        <f>O37+H37</f>
        <v>1908121.7362944002</v>
      </c>
      <c r="Q37" s="19"/>
      <c r="R37" s="19"/>
      <c r="S37" s="19"/>
      <c r="T37" s="20"/>
      <c r="U37" s="20"/>
      <c r="V37" s="20"/>
      <c r="W37" s="20"/>
      <c r="X37" s="19"/>
      <c r="Y37" s="19"/>
      <c r="Z37" s="1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ht="16.5">
      <c r="A38" s="265" t="s">
        <v>33</v>
      </c>
      <c r="B38" s="263"/>
      <c r="C38" s="17"/>
      <c r="D38" s="17"/>
      <c r="E38" s="17"/>
      <c r="F38" s="18">
        <f>SUM(F36:F37)</f>
        <v>3</v>
      </c>
      <c r="G38" s="17">
        <f>SUM(G36:G37)</f>
        <v>196233.34735</v>
      </c>
      <c r="H38" s="17">
        <f aca="true" t="shared" si="15" ref="H38:N38">SUM(H36:H37)</f>
        <v>2354800.1682</v>
      </c>
      <c r="I38" s="17">
        <f t="shared" si="15"/>
        <v>0</v>
      </c>
      <c r="J38" s="17">
        <f t="shared" si="15"/>
        <v>0</v>
      </c>
      <c r="K38" s="17">
        <f t="shared" si="15"/>
        <v>0</v>
      </c>
      <c r="L38" s="17">
        <f t="shared" si="15"/>
        <v>0</v>
      </c>
      <c r="M38" s="17">
        <f t="shared" si="15"/>
        <v>0</v>
      </c>
      <c r="N38" s="17">
        <f t="shared" si="15"/>
        <v>0</v>
      </c>
      <c r="O38" s="17">
        <f>SUM(O36:O37)</f>
        <v>659344.047096</v>
      </c>
      <c r="P38" s="17">
        <f>SUM(P36:P37)</f>
        <v>3014144.2152960002</v>
      </c>
      <c r="Q38" s="19">
        <f>P38/1000</f>
        <v>3014.1442152960003</v>
      </c>
      <c r="R38" s="19">
        <f>(174.6+12.8+10.6)*1.055*1.055*1.05</f>
        <v>231.39789749999997</v>
      </c>
      <c r="S38" s="19">
        <f>48.2*1.055*1.055*1.05</f>
        <v>56.33019525</v>
      </c>
      <c r="T38" s="20">
        <v>0</v>
      </c>
      <c r="U38" s="20">
        <f>79*1.055*1.055</f>
        <v>87.928975</v>
      </c>
      <c r="V38" s="20">
        <f>26.6*1.055*1.055+6.8</f>
        <v>36.406465</v>
      </c>
      <c r="W38" s="20">
        <f>32.5/2*3</f>
        <v>48.75</v>
      </c>
      <c r="X38" s="19">
        <f>Q38+R38+S38+T38+U38+V38+W38</f>
        <v>3474.9577480460002</v>
      </c>
      <c r="Y38" s="19">
        <v>3474.9577480460002</v>
      </c>
      <c r="Z38" s="19">
        <v>3474.9577480460002</v>
      </c>
      <c r="AA38" s="16"/>
      <c r="AB38" s="16"/>
      <c r="AC38" s="16"/>
      <c r="AD38" s="16"/>
      <c r="AE38" s="259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</row>
    <row r="39" spans="1:254" ht="26.25" customHeight="1">
      <c r="A39" s="263" t="s">
        <v>12</v>
      </c>
      <c r="B39" s="263"/>
      <c r="C39" s="263"/>
      <c r="D39" s="263"/>
      <c r="E39" s="263"/>
      <c r="F39" s="18">
        <f aca="true" t="shared" si="16" ref="F39:W39">F16+F24+F26+F29+F32+F35+F38+F19+F21</f>
        <v>31</v>
      </c>
      <c r="G39" s="18">
        <f t="shared" si="16"/>
        <v>2023109.9426306998</v>
      </c>
      <c r="H39" s="18">
        <f t="shared" si="16"/>
        <v>24277319.311568398</v>
      </c>
      <c r="I39" s="18">
        <f t="shared" si="16"/>
        <v>0</v>
      </c>
      <c r="J39" s="18">
        <f t="shared" si="16"/>
        <v>0</v>
      </c>
      <c r="K39" s="18">
        <f t="shared" si="16"/>
        <v>0</v>
      </c>
      <c r="L39" s="18">
        <f t="shared" si="16"/>
        <v>0</v>
      </c>
      <c r="M39" s="18">
        <f t="shared" si="16"/>
        <v>0</v>
      </c>
      <c r="N39" s="18">
        <f t="shared" si="16"/>
        <v>0</v>
      </c>
      <c r="O39" s="266">
        <f t="shared" si="16"/>
        <v>6817997.6481970325</v>
      </c>
      <c r="P39" s="266">
        <f t="shared" si="16"/>
        <v>31095316.959765434</v>
      </c>
      <c r="Q39" s="267">
        <f t="shared" si="16"/>
        <v>31095.316959765438</v>
      </c>
      <c r="R39" s="267">
        <f t="shared" si="16"/>
        <v>1826.8934171249998</v>
      </c>
      <c r="S39" s="267">
        <f t="shared" si="16"/>
        <v>344.31019349999997</v>
      </c>
      <c r="T39" s="267">
        <f t="shared" si="16"/>
        <v>681.13064</v>
      </c>
      <c r="U39" s="267">
        <f t="shared" si="16"/>
        <v>327.09012749999994</v>
      </c>
      <c r="V39" s="267">
        <f t="shared" si="16"/>
        <v>918.2298725</v>
      </c>
      <c r="W39" s="267">
        <f t="shared" si="16"/>
        <v>793.475</v>
      </c>
      <c r="X39" s="267">
        <f>X16+X24+X26+X29+X32+X35+X38+X19+X21+0.1</f>
        <v>35986.54621039043</v>
      </c>
      <c r="Y39" s="267">
        <f>Y16+Y24+Y26+Y29+Y32+Y35+Y38+Y19+Y21+0.1</f>
        <v>35986.54621039043</v>
      </c>
      <c r="Z39" s="267">
        <f>Z16+Z24+Z26+Z29+Z32+Z35+Z38+Z19+Z21+0.1</f>
        <v>35986.54621039043</v>
      </c>
      <c r="AA39" s="16"/>
      <c r="AB39" s="16"/>
      <c r="AC39" s="16"/>
      <c r="AD39" s="16"/>
      <c r="AE39" s="259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</row>
    <row r="41" spans="1:254" ht="16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1"/>
      <c r="M41" s="21"/>
      <c r="N41" s="21"/>
      <c r="O41" s="16"/>
      <c r="P41" s="16"/>
      <c r="Q41" s="16"/>
      <c r="R41" s="16"/>
      <c r="S41" s="16"/>
      <c r="T41" s="490"/>
      <c r="U41" s="491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</sheetData>
  <sheetProtection/>
  <mergeCells count="50">
    <mergeCell ref="H7:H9"/>
    <mergeCell ref="I7:I9"/>
    <mergeCell ref="AD7:AD9"/>
    <mergeCell ref="J7:J9"/>
    <mergeCell ref="T7:T9"/>
    <mergeCell ref="P7:P9"/>
    <mergeCell ref="Q7:Q9"/>
    <mergeCell ref="U7:U9"/>
    <mergeCell ref="K7:K9"/>
    <mergeCell ref="Y6:Y9"/>
    <mergeCell ref="AE6:AE9"/>
    <mergeCell ref="C7:C9"/>
    <mergeCell ref="D7:D9"/>
    <mergeCell ref="E7:E9"/>
    <mergeCell ref="F7:F9"/>
    <mergeCell ref="T41:U41"/>
    <mergeCell ref="X6:X9"/>
    <mergeCell ref="V7:V9"/>
    <mergeCell ref="G7:G9"/>
    <mergeCell ref="AC7:AC9"/>
    <mergeCell ref="AB7:AB9"/>
    <mergeCell ref="R7:R9"/>
    <mergeCell ref="M7:M9"/>
    <mergeCell ref="S7:S9"/>
    <mergeCell ref="O7:O9"/>
    <mergeCell ref="A10:A15"/>
    <mergeCell ref="W7:W9"/>
    <mergeCell ref="N7:N9"/>
    <mergeCell ref="AA7:AA9"/>
    <mergeCell ref="A6:A9"/>
    <mergeCell ref="A36:A37"/>
    <mergeCell ref="L36:L37"/>
    <mergeCell ref="A22:A23"/>
    <mergeCell ref="L22:L23"/>
    <mergeCell ref="A17:A18"/>
    <mergeCell ref="L17:L18"/>
    <mergeCell ref="A27:A28"/>
    <mergeCell ref="L27:L28"/>
    <mergeCell ref="A30:A31"/>
    <mergeCell ref="L30:L31"/>
    <mergeCell ref="Z6:Z9"/>
    <mergeCell ref="Y5:Z5"/>
    <mergeCell ref="A2:Z2"/>
    <mergeCell ref="A1:Z1"/>
    <mergeCell ref="A33:A34"/>
    <mergeCell ref="L33:L34"/>
    <mergeCell ref="L10:L15"/>
    <mergeCell ref="B6:B9"/>
    <mergeCell ref="L6:L9"/>
    <mergeCell ref="A4:X4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P18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875" style="192" customWidth="1"/>
    <col min="2" max="2" width="18.00390625" style="192" customWidth="1"/>
    <col min="3" max="3" width="17.125" style="192" customWidth="1"/>
    <col min="4" max="4" width="19.375" style="192" customWidth="1"/>
    <col min="5" max="5" width="15.375" style="192" customWidth="1"/>
    <col min="6" max="6" width="29.00390625" style="192" customWidth="1"/>
    <col min="7" max="7" width="17.625" style="192" customWidth="1"/>
    <col min="8" max="8" width="28.75390625" style="192" customWidth="1"/>
    <col min="9" max="9" width="12.25390625" style="192" customWidth="1"/>
    <col min="10" max="12" width="16.875" style="192" customWidth="1"/>
    <col min="13" max="13" width="8.125" style="192" customWidth="1"/>
    <col min="14" max="14" width="8.25390625" style="192" customWidth="1"/>
    <col min="15" max="16384" width="9.125" style="192" customWidth="1"/>
  </cols>
  <sheetData>
    <row r="1" spans="1:12" ht="21.75" customHeight="1">
      <c r="A1" s="493" t="s">
        <v>102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13" ht="63" customHeight="1">
      <c r="A2" s="492" t="s">
        <v>373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194"/>
    </row>
    <row r="3" spans="1:13" ht="15.75">
      <c r="A3" s="472"/>
      <c r="B3" s="472"/>
      <c r="C3" s="472"/>
      <c r="D3" s="472"/>
      <c r="E3" s="472"/>
      <c r="F3" s="472"/>
      <c r="G3" s="472"/>
      <c r="H3" s="472"/>
      <c r="I3" s="472"/>
      <c r="J3" s="472"/>
      <c r="K3" s="194"/>
      <c r="L3" s="194"/>
      <c r="M3" s="194"/>
    </row>
    <row r="4" spans="1:13" ht="15.75">
      <c r="A4" s="193"/>
      <c r="B4" s="193"/>
      <c r="C4" s="193"/>
      <c r="D4" s="193"/>
      <c r="E4" s="193"/>
      <c r="G4" s="193"/>
      <c r="H4" s="193"/>
      <c r="I4" s="193"/>
      <c r="J4" s="195"/>
      <c r="K4" s="195"/>
      <c r="L4" s="195" t="s">
        <v>103</v>
      </c>
      <c r="M4" s="194"/>
    </row>
    <row r="5" spans="1:250" ht="258" customHeight="1">
      <c r="A5" s="159" t="s">
        <v>4</v>
      </c>
      <c r="B5" s="159" t="s">
        <v>153</v>
      </c>
      <c r="C5" s="159" t="s">
        <v>154</v>
      </c>
      <c r="D5" s="159" t="s">
        <v>155</v>
      </c>
      <c r="E5" s="159" t="s">
        <v>156</v>
      </c>
      <c r="F5" s="159" t="s">
        <v>157</v>
      </c>
      <c r="G5" s="159" t="s">
        <v>158</v>
      </c>
      <c r="H5" s="159" t="s">
        <v>159</v>
      </c>
      <c r="I5" s="159" t="s">
        <v>160</v>
      </c>
      <c r="J5" s="159" t="s">
        <v>289</v>
      </c>
      <c r="K5" s="159" t="s">
        <v>290</v>
      </c>
      <c r="L5" s="159" t="s">
        <v>336</v>
      </c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</row>
    <row r="6" spans="1:12" s="198" customFormat="1" ht="15.75">
      <c r="A6" s="19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  <c r="G6" s="197">
        <v>7</v>
      </c>
      <c r="H6" s="197">
        <v>8</v>
      </c>
      <c r="I6" s="197">
        <v>9</v>
      </c>
      <c r="J6" s="197">
        <v>10</v>
      </c>
      <c r="K6" s="197">
        <v>11</v>
      </c>
      <c r="L6" s="197">
        <v>12</v>
      </c>
    </row>
    <row r="7" spans="1:12" s="198" customFormat="1" ht="17.25" customHeight="1">
      <c r="A7" s="171" t="s">
        <v>14</v>
      </c>
      <c r="B7" s="197">
        <v>10911</v>
      </c>
      <c r="C7" s="197">
        <v>0</v>
      </c>
      <c r="D7" s="197">
        <v>25</v>
      </c>
      <c r="E7" s="197">
        <v>14</v>
      </c>
      <c r="F7" s="173">
        <v>1000</v>
      </c>
      <c r="G7" s="197">
        <v>2.5</v>
      </c>
      <c r="H7" s="197">
        <v>1.25</v>
      </c>
      <c r="I7" s="197">
        <v>12</v>
      </c>
      <c r="J7" s="294">
        <f>ROUND((B7/D7+C7/E7)*F7*G7*H7*12/1000,1)</f>
        <v>16366.5</v>
      </c>
      <c r="K7" s="294">
        <v>16366.5</v>
      </c>
      <c r="L7" s="294">
        <v>16366.5</v>
      </c>
    </row>
    <row r="8" spans="1:12" s="198" customFormat="1" ht="28.5" customHeight="1">
      <c r="A8" s="171" t="s">
        <v>113</v>
      </c>
      <c r="B8" s="197">
        <v>729</v>
      </c>
      <c r="C8" s="197">
        <v>244</v>
      </c>
      <c r="D8" s="197">
        <v>25</v>
      </c>
      <c r="E8" s="197">
        <v>14</v>
      </c>
      <c r="F8" s="173">
        <v>1000</v>
      </c>
      <c r="G8" s="197">
        <v>2.5</v>
      </c>
      <c r="H8" s="197">
        <v>1.25</v>
      </c>
      <c r="I8" s="197">
        <v>12</v>
      </c>
      <c r="J8" s="294">
        <f>ROUND((B8/D8+C8/E8)*F8*G8*H8*12/1000,1)</f>
        <v>1747.1</v>
      </c>
      <c r="K8" s="294">
        <v>1747.1</v>
      </c>
      <c r="L8" s="294">
        <v>1747.1</v>
      </c>
    </row>
    <row r="9" spans="1:12" s="198" customFormat="1" ht="30.75" customHeight="1">
      <c r="A9" s="171" t="s">
        <v>109</v>
      </c>
      <c r="B9" s="197">
        <v>591</v>
      </c>
      <c r="C9" s="197">
        <v>0</v>
      </c>
      <c r="D9" s="197">
        <v>25</v>
      </c>
      <c r="E9" s="197">
        <v>14</v>
      </c>
      <c r="F9" s="173">
        <v>1000</v>
      </c>
      <c r="G9" s="197">
        <v>2.5</v>
      </c>
      <c r="H9" s="197">
        <v>1.25</v>
      </c>
      <c r="I9" s="197">
        <v>12</v>
      </c>
      <c r="J9" s="294">
        <f aca="true" t="shared" si="0" ref="J9:J15">ROUND((B9/D9+C9/E9)*F9*G9*H9*12/1000,1)</f>
        <v>886.5</v>
      </c>
      <c r="K9" s="294">
        <v>886.5</v>
      </c>
      <c r="L9" s="294">
        <v>886.5</v>
      </c>
    </row>
    <row r="10" spans="1:12" s="198" customFormat="1" ht="30.75" customHeight="1">
      <c r="A10" s="171" t="s">
        <v>116</v>
      </c>
      <c r="B10" s="197">
        <v>294</v>
      </c>
      <c r="C10" s="197">
        <v>69</v>
      </c>
      <c r="D10" s="197">
        <v>25</v>
      </c>
      <c r="E10" s="197">
        <v>14</v>
      </c>
      <c r="F10" s="173">
        <v>1000</v>
      </c>
      <c r="G10" s="197">
        <v>2.7</v>
      </c>
      <c r="H10" s="197">
        <v>1.25</v>
      </c>
      <c r="I10" s="197">
        <v>12</v>
      </c>
      <c r="J10" s="294">
        <f t="shared" si="0"/>
        <v>675.9</v>
      </c>
      <c r="K10" s="294">
        <v>675.9</v>
      </c>
      <c r="L10" s="294">
        <v>675.9</v>
      </c>
    </row>
    <row r="11" spans="1:12" s="198" customFormat="1" ht="32.25" customHeight="1">
      <c r="A11" s="171" t="s">
        <v>112</v>
      </c>
      <c r="B11" s="197">
        <v>245</v>
      </c>
      <c r="C11" s="197">
        <v>40</v>
      </c>
      <c r="D11" s="197">
        <v>25</v>
      </c>
      <c r="E11" s="197">
        <v>14</v>
      </c>
      <c r="F11" s="173">
        <v>1000</v>
      </c>
      <c r="G11" s="197">
        <v>2.5</v>
      </c>
      <c r="H11" s="197">
        <v>1.25</v>
      </c>
      <c r="I11" s="197">
        <v>12</v>
      </c>
      <c r="J11" s="294">
        <f t="shared" si="0"/>
        <v>474.6</v>
      </c>
      <c r="K11" s="294">
        <v>474.6</v>
      </c>
      <c r="L11" s="294">
        <v>474.6</v>
      </c>
    </row>
    <row r="12" spans="1:12" s="198" customFormat="1" ht="30.75" customHeight="1">
      <c r="A12" s="171" t="s">
        <v>117</v>
      </c>
      <c r="B12" s="197">
        <v>767</v>
      </c>
      <c r="C12" s="197">
        <v>0</v>
      </c>
      <c r="D12" s="197">
        <v>25</v>
      </c>
      <c r="E12" s="197">
        <v>14</v>
      </c>
      <c r="F12" s="173">
        <v>1000</v>
      </c>
      <c r="G12" s="197">
        <v>2.5</v>
      </c>
      <c r="H12" s="197">
        <v>1.25</v>
      </c>
      <c r="I12" s="197">
        <v>12</v>
      </c>
      <c r="J12" s="294">
        <f t="shared" si="0"/>
        <v>1150.5</v>
      </c>
      <c r="K12" s="294">
        <v>1150.5</v>
      </c>
      <c r="L12" s="294">
        <v>1150.5</v>
      </c>
    </row>
    <row r="13" spans="1:12" s="198" customFormat="1" ht="31.5" customHeight="1">
      <c r="A13" s="171" t="s">
        <v>118</v>
      </c>
      <c r="B13" s="197">
        <v>364</v>
      </c>
      <c r="C13" s="197">
        <v>95</v>
      </c>
      <c r="D13" s="197">
        <v>25</v>
      </c>
      <c r="E13" s="197">
        <v>14</v>
      </c>
      <c r="F13" s="173">
        <v>1000</v>
      </c>
      <c r="G13" s="197">
        <v>2.5</v>
      </c>
      <c r="H13" s="197">
        <v>1.25</v>
      </c>
      <c r="I13" s="197">
        <v>12</v>
      </c>
      <c r="J13" s="294">
        <f t="shared" si="0"/>
        <v>800.5</v>
      </c>
      <c r="K13" s="294">
        <v>800.5</v>
      </c>
      <c r="L13" s="294">
        <v>800.5</v>
      </c>
    </row>
    <row r="14" spans="1:12" s="198" customFormat="1" ht="31.5" customHeight="1">
      <c r="A14" s="171" t="s">
        <v>119</v>
      </c>
      <c r="B14" s="197">
        <v>833</v>
      </c>
      <c r="C14" s="197">
        <v>0</v>
      </c>
      <c r="D14" s="197">
        <v>25</v>
      </c>
      <c r="E14" s="197">
        <v>14</v>
      </c>
      <c r="F14" s="173">
        <v>1000</v>
      </c>
      <c r="G14" s="197">
        <v>2.5</v>
      </c>
      <c r="H14" s="197">
        <v>1.25</v>
      </c>
      <c r="I14" s="197">
        <v>12</v>
      </c>
      <c r="J14" s="294">
        <f t="shared" si="0"/>
        <v>1249.5</v>
      </c>
      <c r="K14" s="294">
        <v>1249.5</v>
      </c>
      <c r="L14" s="294">
        <v>1249.5</v>
      </c>
    </row>
    <row r="15" spans="1:12" s="198" customFormat="1" ht="31.5" customHeight="1">
      <c r="A15" s="171" t="s">
        <v>120</v>
      </c>
      <c r="B15" s="197">
        <v>1033</v>
      </c>
      <c r="C15" s="197">
        <v>0</v>
      </c>
      <c r="D15" s="197">
        <v>25</v>
      </c>
      <c r="E15" s="197">
        <v>14</v>
      </c>
      <c r="F15" s="173">
        <v>1000</v>
      </c>
      <c r="G15" s="197">
        <v>2.5</v>
      </c>
      <c r="H15" s="197">
        <v>1.25</v>
      </c>
      <c r="I15" s="197">
        <v>12</v>
      </c>
      <c r="J15" s="294">
        <f t="shared" si="0"/>
        <v>1549.5</v>
      </c>
      <c r="K15" s="294">
        <v>1549.5</v>
      </c>
      <c r="L15" s="294">
        <v>1549.5</v>
      </c>
    </row>
    <row r="16" spans="1:12" s="198" customFormat="1" ht="21" customHeight="1">
      <c r="A16" s="199" t="s">
        <v>15</v>
      </c>
      <c r="B16" s="173">
        <f>SUM(B7:B15)</f>
        <v>15767</v>
      </c>
      <c r="C16" s="197">
        <f>SUM(C7:C15)</f>
        <v>448</v>
      </c>
      <c r="D16" s="197" t="s">
        <v>350</v>
      </c>
      <c r="E16" s="197" t="s">
        <v>350</v>
      </c>
      <c r="F16" s="197" t="s">
        <v>350</v>
      </c>
      <c r="G16" s="197" t="s">
        <v>350</v>
      </c>
      <c r="H16" s="197" t="s">
        <v>350</v>
      </c>
      <c r="I16" s="197" t="s">
        <v>350</v>
      </c>
      <c r="J16" s="294">
        <f>SUM(J7:J15)</f>
        <v>24900.6</v>
      </c>
      <c r="K16" s="294">
        <f>SUM(K7:K15)</f>
        <v>24900.6</v>
      </c>
      <c r="L16" s="294">
        <f>SUM(L7:L15)</f>
        <v>24900.6</v>
      </c>
    </row>
    <row r="18" spans="1:3" ht="15.75">
      <c r="A18" s="58"/>
      <c r="B18" s="58"/>
      <c r="C18" s="200"/>
    </row>
  </sheetData>
  <sheetProtection/>
  <mergeCells count="3">
    <mergeCell ref="A3:J3"/>
    <mergeCell ref="A2:L2"/>
    <mergeCell ref="A1:L1"/>
  </mergeCells>
  <printOptions/>
  <pageMargins left="0.15748031496062992" right="0.16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1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0.875" style="24" customWidth="1"/>
    <col min="2" max="2" width="14.00390625" style="302" customWidth="1"/>
    <col min="3" max="3" width="17.125" style="302" customWidth="1"/>
    <col min="4" max="7" width="13.625" style="302" customWidth="1"/>
    <col min="8" max="8" width="15.375" style="302" customWidth="1"/>
    <col min="9" max="9" width="14.375" style="24" customWidth="1"/>
    <col min="10" max="10" width="13.625" style="24" customWidth="1"/>
    <col min="11" max="11" width="13.25390625" style="24" customWidth="1"/>
    <col min="12" max="16384" width="9.125" style="24" customWidth="1"/>
  </cols>
  <sheetData>
    <row r="1" spans="1:11" ht="15.75">
      <c r="A1" s="494" t="s">
        <v>107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</row>
    <row r="2" spans="1:11" ht="59.25" customHeight="1">
      <c r="A2" s="492" t="s">
        <v>384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</row>
    <row r="3" spans="1:11" ht="1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1.25" customHeight="1">
      <c r="A4" s="295"/>
      <c r="B4" s="301"/>
      <c r="C4" s="301"/>
      <c r="D4" s="301"/>
      <c r="E4" s="301"/>
      <c r="F4" s="301"/>
      <c r="G4" s="301"/>
      <c r="H4" s="301"/>
      <c r="I4" s="295"/>
      <c r="J4" s="295"/>
      <c r="K4" s="295"/>
    </row>
    <row r="5" ht="15.75">
      <c r="K5" s="195" t="s">
        <v>103</v>
      </c>
    </row>
    <row r="6" spans="1:11" s="304" customFormat="1" ht="60" customHeight="1">
      <c r="A6" s="99" t="s">
        <v>4</v>
      </c>
      <c r="B6" s="303" t="s">
        <v>380</v>
      </c>
      <c r="C6" s="303" t="s">
        <v>374</v>
      </c>
      <c r="D6" s="303" t="s">
        <v>375</v>
      </c>
      <c r="E6" s="303" t="s">
        <v>376</v>
      </c>
      <c r="F6" s="303" t="s">
        <v>377</v>
      </c>
      <c r="G6" s="303" t="s">
        <v>378</v>
      </c>
      <c r="H6" s="303" t="s">
        <v>379</v>
      </c>
      <c r="I6" s="249" t="s">
        <v>381</v>
      </c>
      <c r="J6" s="249" t="s">
        <v>382</v>
      </c>
      <c r="K6" s="249" t="s">
        <v>383</v>
      </c>
    </row>
    <row r="7" spans="1:11" s="300" customFormat="1" ht="19.5" customHeight="1">
      <c r="A7" s="305" t="s">
        <v>14</v>
      </c>
      <c r="B7" s="297">
        <v>32</v>
      </c>
      <c r="C7" s="297">
        <v>15</v>
      </c>
      <c r="D7" s="297">
        <v>30</v>
      </c>
      <c r="E7" s="307">
        <v>52.67</v>
      </c>
      <c r="F7" s="306">
        <f>E7*0.1</f>
        <v>5.267</v>
      </c>
      <c r="G7" s="308">
        <f>B7*F7</f>
        <v>168.544</v>
      </c>
      <c r="H7" s="298">
        <f>B7*D7*E7</f>
        <v>50563.200000000004</v>
      </c>
      <c r="I7" s="298">
        <v>50731.9</v>
      </c>
      <c r="J7" s="298">
        <v>131264.2</v>
      </c>
      <c r="K7" s="298">
        <f>J7</f>
        <v>131264.2</v>
      </c>
    </row>
    <row r="8" spans="1:11" s="300" customFormat="1" ht="19.5" customHeight="1">
      <c r="A8" s="305" t="s">
        <v>113</v>
      </c>
      <c r="B8" s="297">
        <v>1</v>
      </c>
      <c r="C8" s="297">
        <v>15</v>
      </c>
      <c r="D8" s="297">
        <v>30</v>
      </c>
      <c r="E8" s="307">
        <v>20.615</v>
      </c>
      <c r="F8" s="306">
        <f>E8*0.1</f>
        <v>2.0615</v>
      </c>
      <c r="G8" s="308">
        <f>B8*F8</f>
        <v>2.0615</v>
      </c>
      <c r="H8" s="298">
        <f>B8*D8*E8</f>
        <v>618.4499999999999</v>
      </c>
      <c r="I8" s="298">
        <v>620.5</v>
      </c>
      <c r="J8" s="298">
        <f>I8</f>
        <v>620.5</v>
      </c>
      <c r="K8" s="298">
        <f>J8</f>
        <v>620.5</v>
      </c>
    </row>
    <row r="9" spans="1:11" s="300" customFormat="1" ht="19.5" customHeight="1">
      <c r="A9" s="248" t="s">
        <v>109</v>
      </c>
      <c r="B9" s="297">
        <v>1</v>
      </c>
      <c r="C9" s="297">
        <v>15</v>
      </c>
      <c r="D9" s="297">
        <v>30</v>
      </c>
      <c r="E9" s="307">
        <f>E8</f>
        <v>20.615</v>
      </c>
      <c r="F9" s="306">
        <f>E9*0.1</f>
        <v>2.0615</v>
      </c>
      <c r="G9" s="308">
        <f>B9*F9</f>
        <v>2.0615</v>
      </c>
      <c r="H9" s="298">
        <f>B9*D9*E9</f>
        <v>618.4499999999999</v>
      </c>
      <c r="I9" s="298">
        <v>620.5</v>
      </c>
      <c r="J9" s="298">
        <f>I9</f>
        <v>620.5</v>
      </c>
      <c r="K9" s="298">
        <f>J9</f>
        <v>620.5</v>
      </c>
    </row>
    <row r="10" spans="1:11" s="300" customFormat="1" ht="19.5" customHeight="1">
      <c r="A10" s="248" t="s">
        <v>118</v>
      </c>
      <c r="B10" s="297">
        <v>1</v>
      </c>
      <c r="C10" s="297">
        <v>15</v>
      </c>
      <c r="D10" s="297">
        <v>30</v>
      </c>
      <c r="E10" s="307">
        <f>E9</f>
        <v>20.615</v>
      </c>
      <c r="F10" s="306">
        <f>E10*0.1</f>
        <v>2.0615</v>
      </c>
      <c r="G10" s="308">
        <f>B10*F10</f>
        <v>2.0615</v>
      </c>
      <c r="H10" s="298">
        <f>B10*D10*E10</f>
        <v>618.4499999999999</v>
      </c>
      <c r="I10" s="298">
        <v>620.5</v>
      </c>
      <c r="J10" s="298">
        <f>I10</f>
        <v>620.5</v>
      </c>
      <c r="K10" s="298">
        <f>J10</f>
        <v>620.5</v>
      </c>
    </row>
    <row r="11" spans="1:11" s="300" customFormat="1" ht="19.5" customHeight="1">
      <c r="A11" s="250" t="s">
        <v>12</v>
      </c>
      <c r="B11" s="297">
        <f>SUM(B7:B8)</f>
        <v>33</v>
      </c>
      <c r="C11" s="297" t="s">
        <v>350</v>
      </c>
      <c r="D11" s="297" t="s">
        <v>350</v>
      </c>
      <c r="E11" s="297" t="s">
        <v>350</v>
      </c>
      <c r="F11" s="297" t="s">
        <v>350</v>
      </c>
      <c r="G11" s="298">
        <f>SUM(G7:G10)</f>
        <v>174.7285</v>
      </c>
      <c r="H11" s="298">
        <f>SUM(H7:H10)</f>
        <v>52418.549999999996</v>
      </c>
      <c r="I11" s="298">
        <f>SUM(I7:I10)</f>
        <v>52593.4</v>
      </c>
      <c r="J11" s="298">
        <f>SUM(J7:J10)</f>
        <v>133125.7</v>
      </c>
      <c r="K11" s="298">
        <f>SUM(K7:K10)</f>
        <v>133125.7</v>
      </c>
    </row>
  </sheetData>
  <sheetProtection/>
  <mergeCells count="2">
    <mergeCell ref="A2:K2"/>
    <mergeCell ref="A1:K1"/>
  </mergeCells>
  <printOptions/>
  <pageMargins left="0.29" right="0.28" top="0.75" bottom="0.75" header="0.3" footer="0.3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0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2.125" style="16" customWidth="1"/>
    <col min="2" max="2" width="9.125" style="16" hidden="1" customWidth="1"/>
    <col min="3" max="3" width="20.125" style="16" customWidth="1"/>
    <col min="4" max="4" width="10.375" style="16" customWidth="1"/>
    <col min="5" max="5" width="18.75390625" style="16" customWidth="1"/>
    <col min="6" max="6" width="31.125" style="16" customWidth="1"/>
    <col min="7" max="7" width="12.00390625" style="16" customWidth="1"/>
    <col min="8" max="8" width="17.375" style="16" customWidth="1"/>
    <col min="9" max="9" width="17.00390625" style="16" customWidth="1"/>
    <col min="10" max="10" width="17.125" style="16" customWidth="1"/>
    <col min="11" max="11" width="10.125" style="16" customWidth="1"/>
    <col min="12" max="12" width="11.25390625" style="16" customWidth="1"/>
    <col min="13" max="13" width="11.00390625" style="16" hidden="1" customWidth="1"/>
    <col min="14" max="14" width="12.375" style="16" hidden="1" customWidth="1"/>
    <col min="15" max="15" width="11.25390625" style="16" hidden="1" customWidth="1"/>
    <col min="16" max="16" width="11.00390625" style="16" hidden="1" customWidth="1"/>
    <col min="17" max="17" width="12.25390625" style="16" hidden="1" customWidth="1"/>
    <col min="18" max="18" width="14.375" style="16" hidden="1" customWidth="1"/>
    <col min="19" max="19" width="11.00390625" style="16" hidden="1" customWidth="1"/>
    <col min="20" max="20" width="12.25390625" style="16" hidden="1" customWidth="1"/>
    <col min="21" max="16384" width="9.125" style="16" customWidth="1"/>
  </cols>
  <sheetData>
    <row r="1" spans="1:10" ht="15.75">
      <c r="A1" s="493" t="s">
        <v>107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8" ht="46.5" customHeight="1">
      <c r="A2" s="492" t="s">
        <v>363</v>
      </c>
      <c r="B2" s="492"/>
      <c r="C2" s="492"/>
      <c r="D2" s="492"/>
      <c r="E2" s="492"/>
      <c r="F2" s="492"/>
      <c r="G2" s="492"/>
      <c r="H2" s="492"/>
      <c r="I2" s="492"/>
      <c r="J2" s="492"/>
      <c r="K2" s="236"/>
      <c r="L2" s="236"/>
      <c r="M2" s="236"/>
      <c r="N2" s="236"/>
      <c r="O2" s="236"/>
      <c r="P2" s="236"/>
      <c r="Q2" s="236"/>
      <c r="R2" s="236"/>
    </row>
    <row r="3" spans="1:18" ht="12.75">
      <c r="A3" s="495"/>
      <c r="B3" s="495"/>
      <c r="C3" s="495"/>
      <c r="D3" s="495"/>
      <c r="E3" s="495"/>
      <c r="F3" s="495"/>
      <c r="G3" s="495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8" ht="15.75">
      <c r="A4" s="236"/>
      <c r="B4" s="236"/>
      <c r="C4" s="236"/>
      <c r="D4" s="236"/>
      <c r="E4" s="236"/>
      <c r="F4" s="236"/>
      <c r="G4" s="236"/>
      <c r="H4" s="238"/>
      <c r="I4" s="238"/>
      <c r="J4" s="195" t="s">
        <v>103</v>
      </c>
      <c r="K4" s="236"/>
      <c r="L4" s="236"/>
      <c r="M4" s="236"/>
      <c r="N4" s="236"/>
      <c r="O4" s="236"/>
      <c r="P4" s="236"/>
      <c r="Q4" s="236"/>
      <c r="R4" s="236"/>
    </row>
    <row r="5" spans="1:10" ht="297" customHeight="1">
      <c r="A5" s="124" t="s">
        <v>4</v>
      </c>
      <c r="B5" s="124" t="s">
        <v>105</v>
      </c>
      <c r="C5" s="124" t="s">
        <v>161</v>
      </c>
      <c r="D5" s="124" t="s">
        <v>164</v>
      </c>
      <c r="E5" s="124" t="s">
        <v>162</v>
      </c>
      <c r="F5" s="124" t="s">
        <v>163</v>
      </c>
      <c r="G5" s="124" t="s">
        <v>160</v>
      </c>
      <c r="H5" s="249" t="s">
        <v>291</v>
      </c>
      <c r="I5" s="249" t="s">
        <v>292</v>
      </c>
      <c r="J5" s="249" t="s">
        <v>362</v>
      </c>
    </row>
    <row r="6" spans="1:10" ht="12.75">
      <c r="A6" s="126">
        <v>1</v>
      </c>
      <c r="B6" s="243">
        <v>2</v>
      </c>
      <c r="C6" s="243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7</v>
      </c>
      <c r="J6" s="243">
        <v>7</v>
      </c>
    </row>
    <row r="7" spans="1:10" s="58" customFormat="1" ht="15.75">
      <c r="A7" s="244" t="s">
        <v>14</v>
      </c>
      <c r="B7" s="239">
        <f>C7+D7+E7</f>
        <v>131.547</v>
      </c>
      <c r="C7" s="240">
        <v>128</v>
      </c>
      <c r="D7" s="245">
        <v>1.047</v>
      </c>
      <c r="E7" s="241">
        <v>2.5</v>
      </c>
      <c r="F7" s="246">
        <v>1.25</v>
      </c>
      <c r="G7" s="247">
        <v>12</v>
      </c>
      <c r="H7" s="241">
        <v>5025.6</v>
      </c>
      <c r="I7" s="241">
        <v>5025.6</v>
      </c>
      <c r="J7" s="241">
        <v>5025.6</v>
      </c>
    </row>
    <row r="8" spans="1:10" s="58" customFormat="1" ht="15.75">
      <c r="A8" s="244" t="s">
        <v>113</v>
      </c>
      <c r="B8" s="239">
        <f aca="true" t="shared" si="0" ref="B8:B15">C8+D8+E8</f>
        <v>202.547</v>
      </c>
      <c r="C8" s="240">
        <v>199</v>
      </c>
      <c r="D8" s="245">
        <v>1.047</v>
      </c>
      <c r="E8" s="241">
        <v>2.5</v>
      </c>
      <c r="F8" s="246">
        <v>1.25</v>
      </c>
      <c r="G8" s="247">
        <v>12</v>
      </c>
      <c r="H8" s="241">
        <v>7813.2</v>
      </c>
      <c r="I8" s="241">
        <v>7813.2</v>
      </c>
      <c r="J8" s="241">
        <v>7813.2</v>
      </c>
    </row>
    <row r="9" spans="1:10" s="58" customFormat="1" ht="15.75">
      <c r="A9" s="244" t="s">
        <v>109</v>
      </c>
      <c r="B9" s="239">
        <f t="shared" si="0"/>
        <v>129.547</v>
      </c>
      <c r="C9" s="240">
        <v>126</v>
      </c>
      <c r="D9" s="245">
        <v>1.047</v>
      </c>
      <c r="E9" s="241">
        <v>2.5</v>
      </c>
      <c r="F9" s="246">
        <v>1.25</v>
      </c>
      <c r="G9" s="247">
        <v>12</v>
      </c>
      <c r="H9" s="241">
        <v>4932.5</v>
      </c>
      <c r="I9" s="241">
        <v>4932.5</v>
      </c>
      <c r="J9" s="241">
        <v>4932.5</v>
      </c>
    </row>
    <row r="10" spans="1:10" s="58" customFormat="1" ht="14.25" customHeight="1">
      <c r="A10" s="248" t="s">
        <v>116</v>
      </c>
      <c r="B10" s="239">
        <f t="shared" si="0"/>
        <v>92.747</v>
      </c>
      <c r="C10" s="240">
        <v>89</v>
      </c>
      <c r="D10" s="245">
        <v>1.047</v>
      </c>
      <c r="E10" s="241">
        <v>2.7</v>
      </c>
      <c r="F10" s="246">
        <v>1.25</v>
      </c>
      <c r="G10" s="247">
        <v>12</v>
      </c>
      <c r="H10" s="241">
        <v>3773.9</v>
      </c>
      <c r="I10" s="241">
        <v>3773.9</v>
      </c>
      <c r="J10" s="241">
        <v>3773.9</v>
      </c>
    </row>
    <row r="11" spans="1:10" s="58" customFormat="1" ht="15.75">
      <c r="A11" s="244" t="s">
        <v>112</v>
      </c>
      <c r="B11" s="239">
        <f t="shared" si="0"/>
        <v>88.547</v>
      </c>
      <c r="C11" s="240">
        <v>85</v>
      </c>
      <c r="D11" s="245">
        <v>1.047</v>
      </c>
      <c r="E11" s="241">
        <v>2.5</v>
      </c>
      <c r="F11" s="246">
        <v>1.25</v>
      </c>
      <c r="G11" s="247">
        <v>12</v>
      </c>
      <c r="H11" s="241">
        <v>3337.3</v>
      </c>
      <c r="I11" s="241">
        <v>3337.3</v>
      </c>
      <c r="J11" s="241">
        <v>3337.3</v>
      </c>
    </row>
    <row r="12" spans="1:10" s="58" customFormat="1" ht="15.75">
      <c r="A12" s="244" t="s">
        <v>117</v>
      </c>
      <c r="B12" s="239">
        <f t="shared" si="0"/>
        <v>138.547</v>
      </c>
      <c r="C12" s="240">
        <v>135</v>
      </c>
      <c r="D12" s="245">
        <v>1.047</v>
      </c>
      <c r="E12" s="241">
        <v>2.5</v>
      </c>
      <c r="F12" s="246">
        <v>1.25</v>
      </c>
      <c r="G12" s="247">
        <v>12</v>
      </c>
      <c r="H12" s="241">
        <v>5300.4</v>
      </c>
      <c r="I12" s="241">
        <v>5300.4</v>
      </c>
      <c r="J12" s="241">
        <v>5300.4</v>
      </c>
    </row>
    <row r="13" spans="1:10" s="58" customFormat="1" ht="15.75">
      <c r="A13" s="244" t="s">
        <v>118</v>
      </c>
      <c r="B13" s="239">
        <f t="shared" si="0"/>
        <v>107.547</v>
      </c>
      <c r="C13" s="240">
        <v>104</v>
      </c>
      <c r="D13" s="245">
        <v>1.047</v>
      </c>
      <c r="E13" s="241">
        <v>2.5</v>
      </c>
      <c r="F13" s="246">
        <v>1.25</v>
      </c>
      <c r="G13" s="247">
        <v>12</v>
      </c>
      <c r="H13" s="241">
        <v>4083.3</v>
      </c>
      <c r="I13" s="241">
        <v>4083.3</v>
      </c>
      <c r="J13" s="241">
        <v>4083.3</v>
      </c>
    </row>
    <row r="14" spans="1:10" s="58" customFormat="1" ht="15.75">
      <c r="A14" s="244" t="s">
        <v>119</v>
      </c>
      <c r="B14" s="239">
        <f t="shared" si="0"/>
        <v>181.547</v>
      </c>
      <c r="C14" s="240">
        <v>178</v>
      </c>
      <c r="D14" s="245">
        <v>1.047</v>
      </c>
      <c r="E14" s="241">
        <v>2.5</v>
      </c>
      <c r="F14" s="246">
        <v>1.25</v>
      </c>
      <c r="G14" s="247">
        <v>12</v>
      </c>
      <c r="H14" s="241">
        <v>6988.7</v>
      </c>
      <c r="I14" s="241">
        <v>6988.7</v>
      </c>
      <c r="J14" s="241">
        <v>6988.7</v>
      </c>
    </row>
    <row r="15" spans="1:10" s="58" customFormat="1" ht="15.75">
      <c r="A15" s="244" t="s">
        <v>120</v>
      </c>
      <c r="B15" s="239">
        <f t="shared" si="0"/>
        <v>147.547</v>
      </c>
      <c r="C15" s="240">
        <v>144</v>
      </c>
      <c r="D15" s="245">
        <v>1.047</v>
      </c>
      <c r="E15" s="241">
        <v>2.5</v>
      </c>
      <c r="F15" s="246">
        <v>1.25</v>
      </c>
      <c r="G15" s="247">
        <v>12</v>
      </c>
      <c r="H15" s="241">
        <v>5653.8</v>
      </c>
      <c r="I15" s="241">
        <v>5653.8</v>
      </c>
      <c r="J15" s="241">
        <v>5653.8</v>
      </c>
    </row>
    <row r="16" spans="1:10" s="58" customFormat="1" ht="21.75" customHeight="1">
      <c r="A16" s="250" t="s">
        <v>12</v>
      </c>
      <c r="B16" s="107">
        <f>SUM(B7:B15)</f>
        <v>1220.123</v>
      </c>
      <c r="C16" s="247">
        <f>SUM(C7:C15)</f>
        <v>1188</v>
      </c>
      <c r="D16" s="247"/>
      <c r="E16" s="241"/>
      <c r="F16" s="241"/>
      <c r="G16" s="241"/>
      <c r="H16" s="241">
        <f>SUM(H7:H15)</f>
        <v>46908.700000000004</v>
      </c>
      <c r="I16" s="241">
        <f>SUM(I7:I15)</f>
        <v>46908.700000000004</v>
      </c>
      <c r="J16" s="241">
        <f>SUM(J7:J15)</f>
        <v>46908.700000000004</v>
      </c>
    </row>
    <row r="17" s="58" customFormat="1" ht="15.75"/>
    <row r="20" ht="12.75">
      <c r="F20" s="242"/>
    </row>
  </sheetData>
  <sheetProtection/>
  <mergeCells count="3">
    <mergeCell ref="A3:G3"/>
    <mergeCell ref="A2:J2"/>
    <mergeCell ref="A1:J1"/>
  </mergeCells>
  <printOptions/>
  <pageMargins left="0.1968503937007874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34"/>
  <sheetViews>
    <sheetView zoomScale="118" zoomScaleNormal="118" zoomScalePageLayoutView="0" workbookViewId="0" topLeftCell="A10">
      <selection activeCell="A3" sqref="A3:Z3"/>
    </sheetView>
  </sheetViews>
  <sheetFormatPr defaultColWidth="9.00390625" defaultRowHeight="12.75"/>
  <cols>
    <col min="1" max="1" width="26.25390625" style="16" customWidth="1"/>
    <col min="2" max="2" width="19.25390625" style="16" hidden="1" customWidth="1"/>
    <col min="3" max="3" width="8.625" style="16" customWidth="1"/>
    <col min="4" max="4" width="8.75390625" style="16" customWidth="1"/>
    <col min="5" max="5" width="9.00390625" style="16" customWidth="1"/>
    <col min="6" max="6" width="8.25390625" style="16" customWidth="1"/>
    <col min="7" max="7" width="9.25390625" style="16" hidden="1" customWidth="1"/>
    <col min="8" max="8" width="9.375" style="16" customWidth="1"/>
    <col min="9" max="9" width="8.375" style="16" customWidth="1"/>
    <col min="10" max="10" width="8.875" style="16" customWidth="1"/>
    <col min="11" max="11" width="9.125" style="16" customWidth="1"/>
    <col min="12" max="12" width="9.25390625" style="16" customWidth="1"/>
    <col min="13" max="13" width="9.125" style="16" hidden="1" customWidth="1"/>
    <col min="14" max="14" width="12.00390625" style="16" customWidth="1"/>
    <col min="15" max="15" width="7.625" style="16" customWidth="1"/>
    <col min="16" max="16" width="8.75390625" style="16" customWidth="1"/>
    <col min="17" max="17" width="9.125" style="16" customWidth="1"/>
    <col min="18" max="18" width="10.75390625" style="16" customWidth="1"/>
    <col min="19" max="19" width="13.25390625" style="16" customWidth="1"/>
    <col min="20" max="20" width="17.25390625" style="16" customWidth="1"/>
    <col min="21" max="21" width="10.625" style="16" hidden="1" customWidth="1"/>
    <col min="22" max="22" width="15.875" style="16" customWidth="1"/>
    <col min="23" max="23" width="13.375" style="16" hidden="1" customWidth="1"/>
    <col min="24" max="24" width="12.625" style="16" hidden="1" customWidth="1"/>
    <col min="25" max="26" width="15.875" style="16" customWidth="1"/>
    <col min="27" max="16384" width="9.125" style="16" customWidth="1"/>
  </cols>
  <sheetData>
    <row r="1" spans="1:26" ht="12.75">
      <c r="A1" s="503" t="s">
        <v>104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</row>
    <row r="2" spans="1:26" ht="12.75" customHeight="1">
      <c r="A2" s="510" t="s">
        <v>488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</row>
    <row r="3" spans="1:26" ht="14.25" customHeight="1">
      <c r="A3" s="502" t="s">
        <v>137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</row>
    <row r="4" spans="1:26" ht="12.75">
      <c r="A4" s="503" t="s">
        <v>136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</row>
    <row r="5" ht="7.5" customHeight="1"/>
    <row r="6" spans="1:22" s="36" customFormat="1" ht="23.25" customHeight="1" thickBot="1">
      <c r="A6" s="36" t="s">
        <v>135</v>
      </c>
      <c r="V6" s="110" t="s">
        <v>30</v>
      </c>
    </row>
    <row r="7" spans="1:26" ht="72.75" customHeight="1">
      <c r="A7" s="507" t="s">
        <v>308</v>
      </c>
      <c r="B7" s="128"/>
      <c r="C7" s="507" t="s">
        <v>121</v>
      </c>
      <c r="D7" s="507"/>
      <c r="E7" s="507" t="s">
        <v>122</v>
      </c>
      <c r="F7" s="507"/>
      <c r="G7" s="128"/>
      <c r="H7" s="497" t="s">
        <v>128</v>
      </c>
      <c r="I7" s="497"/>
      <c r="J7" s="497" t="s">
        <v>127</v>
      </c>
      <c r="K7" s="497"/>
      <c r="L7" s="497" t="s">
        <v>114</v>
      </c>
      <c r="M7" s="128"/>
      <c r="N7" s="497" t="s">
        <v>126</v>
      </c>
      <c r="O7" s="497" t="s">
        <v>125</v>
      </c>
      <c r="P7" s="497"/>
      <c r="Q7" s="497"/>
      <c r="R7" s="508" t="s">
        <v>129</v>
      </c>
      <c r="S7" s="497" t="s">
        <v>133</v>
      </c>
      <c r="T7" s="497" t="s">
        <v>134</v>
      </c>
      <c r="U7" s="497" t="s">
        <v>130</v>
      </c>
      <c r="V7" s="504" t="s">
        <v>320</v>
      </c>
      <c r="W7" s="505" t="s">
        <v>131</v>
      </c>
      <c r="X7" s="499" t="s">
        <v>132</v>
      </c>
      <c r="Y7" s="496"/>
      <c r="Z7" s="496"/>
    </row>
    <row r="8" spans="1:26" ht="95.25" customHeight="1" thickBot="1">
      <c r="A8" s="507"/>
      <c r="B8" s="128"/>
      <c r="C8" s="130" t="s">
        <v>123</v>
      </c>
      <c r="D8" s="130" t="s">
        <v>124</v>
      </c>
      <c r="E8" s="130" t="s">
        <v>123</v>
      </c>
      <c r="F8" s="130" t="s">
        <v>124</v>
      </c>
      <c r="G8" s="130" t="s">
        <v>115</v>
      </c>
      <c r="H8" s="130" t="s">
        <v>123</v>
      </c>
      <c r="I8" s="130" t="s">
        <v>124</v>
      </c>
      <c r="J8" s="130" t="s">
        <v>123</v>
      </c>
      <c r="K8" s="130" t="s">
        <v>124</v>
      </c>
      <c r="L8" s="497"/>
      <c r="M8" s="128"/>
      <c r="N8" s="497"/>
      <c r="O8" s="130" t="s">
        <v>123</v>
      </c>
      <c r="P8" s="130" t="s">
        <v>124</v>
      </c>
      <c r="Q8" s="131" t="s">
        <v>12</v>
      </c>
      <c r="R8" s="508"/>
      <c r="S8" s="497"/>
      <c r="T8" s="497"/>
      <c r="U8" s="497"/>
      <c r="V8" s="504"/>
      <c r="W8" s="506"/>
      <c r="X8" s="500"/>
      <c r="Y8" s="496"/>
      <c r="Z8" s="496"/>
    </row>
    <row r="9" spans="1:26" s="111" customFormat="1" ht="13.5" thickBot="1">
      <c r="A9" s="126">
        <v>1</v>
      </c>
      <c r="B9" s="126"/>
      <c r="C9" s="129">
        <v>2</v>
      </c>
      <c r="D9" s="129">
        <v>3</v>
      </c>
      <c r="E9" s="129">
        <v>4</v>
      </c>
      <c r="F9" s="129">
        <v>5</v>
      </c>
      <c r="G9" s="129">
        <v>6</v>
      </c>
      <c r="H9" s="129">
        <v>8</v>
      </c>
      <c r="I9" s="129">
        <v>9</v>
      </c>
      <c r="J9" s="129">
        <v>8</v>
      </c>
      <c r="K9" s="129">
        <v>9</v>
      </c>
      <c r="L9" s="129">
        <v>10</v>
      </c>
      <c r="M9" s="126"/>
      <c r="N9" s="129">
        <v>11</v>
      </c>
      <c r="O9" s="129">
        <v>12</v>
      </c>
      <c r="P9" s="129">
        <v>13</v>
      </c>
      <c r="Q9" s="126">
        <v>14</v>
      </c>
      <c r="R9" s="126">
        <v>15</v>
      </c>
      <c r="S9" s="129">
        <v>16</v>
      </c>
      <c r="T9" s="129">
        <v>17</v>
      </c>
      <c r="U9" s="129">
        <v>17</v>
      </c>
      <c r="V9" s="129">
        <v>18</v>
      </c>
      <c r="W9" s="64"/>
      <c r="X9" s="63"/>
      <c r="Y9" s="33"/>
      <c r="Z9" s="33"/>
    </row>
    <row r="10" spans="1:26" ht="15">
      <c r="A10" s="32" t="s">
        <v>10</v>
      </c>
      <c r="B10" s="128"/>
      <c r="C10" s="140">
        <v>232.2</v>
      </c>
      <c r="D10" s="134">
        <v>261.61</v>
      </c>
      <c r="E10" s="134">
        <v>2.08</v>
      </c>
      <c r="F10" s="141">
        <v>3.04</v>
      </c>
      <c r="G10" s="134">
        <f>16.4*0.8</f>
        <v>13.12</v>
      </c>
      <c r="H10" s="135">
        <v>13.12</v>
      </c>
      <c r="I10" s="135">
        <v>25.76</v>
      </c>
      <c r="J10" s="142">
        <v>920</v>
      </c>
      <c r="K10" s="142">
        <v>875</v>
      </c>
      <c r="L10" s="143">
        <v>21</v>
      </c>
      <c r="M10" s="126"/>
      <c r="N10" s="144">
        <v>110</v>
      </c>
      <c r="O10" s="144">
        <v>4881</v>
      </c>
      <c r="P10" s="145">
        <v>5432.5</v>
      </c>
      <c r="Q10" s="146">
        <f>O10+P10</f>
        <v>10313.5</v>
      </c>
      <c r="R10" s="147"/>
      <c r="S10" s="143"/>
      <c r="T10" s="145"/>
      <c r="U10" s="148">
        <f>(P10+Q10+T10)/1000</f>
        <v>15.746</v>
      </c>
      <c r="V10" s="144">
        <f>Q10+T10</f>
        <v>10313.5</v>
      </c>
      <c r="W10" s="112" t="e">
        <f>#REF!*(V10-#REF!)/1000+1.49</f>
        <v>#REF!</v>
      </c>
      <c r="X10" s="113" t="e">
        <f aca="true" t="shared" si="0" ref="X10:X18">W10+U10</f>
        <v>#REF!</v>
      </c>
      <c r="Y10" s="35"/>
      <c r="Z10" s="35"/>
    </row>
    <row r="11" spans="1:26" ht="15">
      <c r="A11" s="32" t="s">
        <v>113</v>
      </c>
      <c r="B11" s="128"/>
      <c r="C11" s="140">
        <v>232.2</v>
      </c>
      <c r="D11" s="134">
        <v>261.61</v>
      </c>
      <c r="E11" s="134">
        <v>2.08</v>
      </c>
      <c r="F11" s="141">
        <v>3.04</v>
      </c>
      <c r="G11" s="134">
        <f aca="true" t="shared" si="1" ref="G11:G18">16.4*0.8</f>
        <v>13.12</v>
      </c>
      <c r="H11" s="135">
        <v>13.12</v>
      </c>
      <c r="I11" s="135">
        <v>25.76</v>
      </c>
      <c r="J11" s="142">
        <v>3</v>
      </c>
      <c r="K11" s="142">
        <v>154</v>
      </c>
      <c r="L11" s="143">
        <v>21</v>
      </c>
      <c r="M11" s="126"/>
      <c r="N11" s="144">
        <v>110</v>
      </c>
      <c r="O11" s="144">
        <v>15.9</v>
      </c>
      <c r="P11" s="144">
        <v>956.1</v>
      </c>
      <c r="Q11" s="146">
        <f aca="true" t="shared" si="2" ref="Q11:Q18">O11+P11</f>
        <v>972</v>
      </c>
      <c r="R11" s="147"/>
      <c r="S11" s="143"/>
      <c r="T11" s="145"/>
      <c r="U11" s="148">
        <f aca="true" t="shared" si="3" ref="U11:U18">(P11+Q11+T11)/1000</f>
        <v>1.9281</v>
      </c>
      <c r="V11" s="144">
        <f>Q11+T11+0.02</f>
        <v>972.02</v>
      </c>
      <c r="W11" s="114" t="e">
        <f>#REF!*(V11-#REF!)/1000</f>
        <v>#REF!</v>
      </c>
      <c r="X11" s="115" t="e">
        <f t="shared" si="0"/>
        <v>#REF!</v>
      </c>
      <c r="Y11" s="35"/>
      <c r="Z11" s="35"/>
    </row>
    <row r="12" spans="1:26" ht="15.75" customHeight="1">
      <c r="A12" s="32" t="s">
        <v>109</v>
      </c>
      <c r="B12" s="128"/>
      <c r="C12" s="140">
        <v>232.2</v>
      </c>
      <c r="D12" s="134">
        <v>261.61</v>
      </c>
      <c r="E12" s="134">
        <v>2.08</v>
      </c>
      <c r="F12" s="141">
        <v>3.04</v>
      </c>
      <c r="G12" s="134">
        <f t="shared" si="1"/>
        <v>13.12</v>
      </c>
      <c r="H12" s="135">
        <v>13.12</v>
      </c>
      <c r="I12" s="135">
        <v>25.76</v>
      </c>
      <c r="J12" s="142"/>
      <c r="K12" s="142">
        <v>210</v>
      </c>
      <c r="L12" s="143">
        <v>21</v>
      </c>
      <c r="M12" s="126"/>
      <c r="N12" s="144">
        <v>110</v>
      </c>
      <c r="O12" s="144"/>
      <c r="P12" s="144">
        <v>1303.8</v>
      </c>
      <c r="Q12" s="146">
        <f t="shared" si="2"/>
        <v>1303.8</v>
      </c>
      <c r="R12" s="147"/>
      <c r="S12" s="143"/>
      <c r="T12" s="145"/>
      <c r="U12" s="148">
        <f t="shared" si="3"/>
        <v>2.6075999999999997</v>
      </c>
      <c r="V12" s="144">
        <f>Q12+T12</f>
        <v>1303.8</v>
      </c>
      <c r="W12" s="114" t="e">
        <f>#REF!*(V12-#REF!)/1000</f>
        <v>#REF!</v>
      </c>
      <c r="X12" s="115" t="e">
        <f t="shared" si="0"/>
        <v>#REF!</v>
      </c>
      <c r="Y12" s="35"/>
      <c r="Z12" s="35"/>
    </row>
    <row r="13" spans="1:26" ht="24.75" customHeight="1">
      <c r="A13" s="32" t="s">
        <v>116</v>
      </c>
      <c r="B13" s="128"/>
      <c r="C13" s="140"/>
      <c r="D13" s="134"/>
      <c r="E13" s="134"/>
      <c r="F13" s="141"/>
      <c r="G13" s="134"/>
      <c r="H13" s="135"/>
      <c r="I13" s="135"/>
      <c r="J13" s="142"/>
      <c r="K13" s="142"/>
      <c r="L13" s="143"/>
      <c r="M13" s="126"/>
      <c r="N13" s="144"/>
      <c r="O13" s="144"/>
      <c r="P13" s="144"/>
      <c r="Q13" s="146"/>
      <c r="R13" s="147"/>
      <c r="S13" s="143"/>
      <c r="T13" s="145"/>
      <c r="U13" s="148">
        <f t="shared" si="3"/>
        <v>0</v>
      </c>
      <c r="V13" s="144"/>
      <c r="W13" s="114" t="e">
        <f>#REF!*(V13-#REF!)/1000</f>
        <v>#REF!</v>
      </c>
      <c r="X13" s="115" t="e">
        <f t="shared" si="0"/>
        <v>#REF!</v>
      </c>
      <c r="Y13" s="35"/>
      <c r="Z13" s="35"/>
    </row>
    <row r="14" spans="1:26" ht="24.75" customHeight="1">
      <c r="A14" s="32" t="s">
        <v>112</v>
      </c>
      <c r="B14" s="128"/>
      <c r="C14" s="140">
        <v>232.2</v>
      </c>
      <c r="D14" s="134">
        <v>261.61</v>
      </c>
      <c r="E14" s="134">
        <v>2.08</v>
      </c>
      <c r="F14" s="141">
        <v>3.04</v>
      </c>
      <c r="G14" s="134">
        <f t="shared" si="1"/>
        <v>13.12</v>
      </c>
      <c r="H14" s="135">
        <v>13.12</v>
      </c>
      <c r="I14" s="135">
        <v>25.76</v>
      </c>
      <c r="J14" s="142">
        <v>97</v>
      </c>
      <c r="K14" s="142">
        <v>25</v>
      </c>
      <c r="L14" s="143">
        <v>21</v>
      </c>
      <c r="M14" s="126"/>
      <c r="N14" s="144">
        <v>110</v>
      </c>
      <c r="O14" s="144">
        <v>514.6</v>
      </c>
      <c r="P14" s="144">
        <v>155.2</v>
      </c>
      <c r="Q14" s="146">
        <f t="shared" si="2"/>
        <v>669.8</v>
      </c>
      <c r="R14" s="149">
        <v>206.4</v>
      </c>
      <c r="S14" s="150">
        <v>127</v>
      </c>
      <c r="T14" s="144">
        <f>R14*S14/1000</f>
        <v>26.212799999999998</v>
      </c>
      <c r="U14" s="148">
        <f t="shared" si="3"/>
        <v>0.8512128</v>
      </c>
      <c r="V14" s="144">
        <f>Q14+T14</f>
        <v>696.0128</v>
      </c>
      <c r="W14" s="114" t="e">
        <f>#REF!*(V14-#REF!)/1000</f>
        <v>#REF!</v>
      </c>
      <c r="X14" s="115" t="e">
        <f t="shared" si="0"/>
        <v>#REF!</v>
      </c>
      <c r="Y14" s="35"/>
      <c r="Z14" s="35"/>
    </row>
    <row r="15" spans="1:26" ht="15" customHeight="1">
      <c r="A15" s="32" t="s">
        <v>117</v>
      </c>
      <c r="B15" s="128"/>
      <c r="C15" s="140">
        <v>232.2</v>
      </c>
      <c r="D15" s="134">
        <v>261.61</v>
      </c>
      <c r="E15" s="134">
        <v>2.08</v>
      </c>
      <c r="F15" s="141">
        <v>3.04</v>
      </c>
      <c r="G15" s="134">
        <f t="shared" si="1"/>
        <v>13.12</v>
      </c>
      <c r="H15" s="135">
        <v>13.12</v>
      </c>
      <c r="I15" s="135">
        <v>25.76</v>
      </c>
      <c r="J15" s="142">
        <v>69</v>
      </c>
      <c r="K15" s="142">
        <v>278</v>
      </c>
      <c r="L15" s="143">
        <v>21</v>
      </c>
      <c r="M15" s="126"/>
      <c r="N15" s="144">
        <v>110</v>
      </c>
      <c r="O15" s="144">
        <v>366.1</v>
      </c>
      <c r="P15" s="144">
        <v>1726</v>
      </c>
      <c r="Q15" s="146">
        <f t="shared" si="2"/>
        <v>2092.1</v>
      </c>
      <c r="R15" s="149">
        <v>206.4</v>
      </c>
      <c r="S15" s="143">
        <v>180</v>
      </c>
      <c r="T15" s="144">
        <f>R15*S15/1000</f>
        <v>37.152</v>
      </c>
      <c r="U15" s="148">
        <f t="shared" si="3"/>
        <v>3.855252</v>
      </c>
      <c r="V15" s="144">
        <f>Q15+T15+0.04</f>
        <v>2129.292</v>
      </c>
      <c r="W15" s="114" t="e">
        <f>#REF!*(V15-#REF!)/1000</f>
        <v>#REF!</v>
      </c>
      <c r="X15" s="115" t="e">
        <f t="shared" si="0"/>
        <v>#REF!</v>
      </c>
      <c r="Y15" s="35"/>
      <c r="Z15" s="35"/>
    </row>
    <row r="16" spans="1:26" ht="14.25" customHeight="1">
      <c r="A16" s="32" t="s">
        <v>118</v>
      </c>
      <c r="B16" s="128"/>
      <c r="C16" s="140">
        <v>232.2</v>
      </c>
      <c r="D16" s="134">
        <v>261.61</v>
      </c>
      <c r="E16" s="134">
        <v>2.08</v>
      </c>
      <c r="F16" s="141">
        <v>3.04</v>
      </c>
      <c r="G16" s="134">
        <f t="shared" si="1"/>
        <v>13.12</v>
      </c>
      <c r="H16" s="135">
        <v>13.12</v>
      </c>
      <c r="I16" s="135">
        <v>25.76</v>
      </c>
      <c r="J16" s="142">
        <v>68</v>
      </c>
      <c r="K16" s="142">
        <v>117</v>
      </c>
      <c r="L16" s="143">
        <v>21</v>
      </c>
      <c r="M16" s="126"/>
      <c r="N16" s="144">
        <v>110</v>
      </c>
      <c r="O16" s="144">
        <v>360.8</v>
      </c>
      <c r="P16" s="144">
        <v>726.4</v>
      </c>
      <c r="Q16" s="146">
        <f t="shared" si="2"/>
        <v>1087.2</v>
      </c>
      <c r="R16" s="149"/>
      <c r="S16" s="143"/>
      <c r="T16" s="144"/>
      <c r="U16" s="148">
        <f t="shared" si="3"/>
        <v>1.8135999999999999</v>
      </c>
      <c r="V16" s="144">
        <f>Q16+T16+0.03</f>
        <v>1087.23</v>
      </c>
      <c r="W16" s="114" t="e">
        <f>#REF!*(V16-#REF!)/1000</f>
        <v>#REF!</v>
      </c>
      <c r="X16" s="115" t="e">
        <f t="shared" si="0"/>
        <v>#REF!</v>
      </c>
      <c r="Y16" s="35"/>
      <c r="Z16" s="35"/>
    </row>
    <row r="17" spans="1:26" ht="15" customHeight="1">
      <c r="A17" s="32" t="s">
        <v>119</v>
      </c>
      <c r="B17" s="128"/>
      <c r="C17" s="140">
        <v>232.2</v>
      </c>
      <c r="D17" s="134">
        <v>261.61</v>
      </c>
      <c r="E17" s="134">
        <v>2.08</v>
      </c>
      <c r="F17" s="141">
        <v>3.04</v>
      </c>
      <c r="G17" s="134">
        <f t="shared" si="1"/>
        <v>13.12</v>
      </c>
      <c r="H17" s="135">
        <v>13.12</v>
      </c>
      <c r="I17" s="135">
        <v>25.76</v>
      </c>
      <c r="J17" s="142">
        <v>46</v>
      </c>
      <c r="K17" s="142">
        <v>132</v>
      </c>
      <c r="L17" s="143">
        <v>21</v>
      </c>
      <c r="M17" s="126"/>
      <c r="N17" s="144">
        <v>110</v>
      </c>
      <c r="O17" s="144">
        <v>244</v>
      </c>
      <c r="P17" s="144">
        <v>819.5</v>
      </c>
      <c r="Q17" s="146">
        <f t="shared" si="2"/>
        <v>1063.5</v>
      </c>
      <c r="R17" s="149">
        <v>206.4</v>
      </c>
      <c r="S17" s="143">
        <v>30</v>
      </c>
      <c r="T17" s="144">
        <f>R17*S17/1000</f>
        <v>6.192</v>
      </c>
      <c r="U17" s="148">
        <f t="shared" si="3"/>
        <v>1.889192</v>
      </c>
      <c r="V17" s="144">
        <f>Q17+T17</f>
        <v>1069.692</v>
      </c>
      <c r="W17" s="114" t="e">
        <f>#REF!*(V17-#REF!)/1000</f>
        <v>#REF!</v>
      </c>
      <c r="X17" s="115" t="e">
        <f t="shared" si="0"/>
        <v>#REF!</v>
      </c>
      <c r="Y17" s="35"/>
      <c r="Z17" s="35"/>
    </row>
    <row r="18" spans="1:26" ht="15.75" customHeight="1" thickBot="1">
      <c r="A18" s="32" t="s">
        <v>120</v>
      </c>
      <c r="B18" s="128"/>
      <c r="C18" s="140">
        <v>232.2</v>
      </c>
      <c r="D18" s="134">
        <v>261.61</v>
      </c>
      <c r="E18" s="134">
        <v>2.08</v>
      </c>
      <c r="F18" s="141">
        <v>3.04</v>
      </c>
      <c r="G18" s="134">
        <f t="shared" si="1"/>
        <v>13.12</v>
      </c>
      <c r="H18" s="135">
        <v>13.12</v>
      </c>
      <c r="I18" s="135">
        <v>25.76</v>
      </c>
      <c r="J18" s="142">
        <v>71</v>
      </c>
      <c r="K18" s="142">
        <v>287</v>
      </c>
      <c r="L18" s="143">
        <v>21</v>
      </c>
      <c r="M18" s="126"/>
      <c r="N18" s="144">
        <v>110</v>
      </c>
      <c r="O18" s="144">
        <v>376.7</v>
      </c>
      <c r="P18" s="144">
        <v>1781.9</v>
      </c>
      <c r="Q18" s="146">
        <f t="shared" si="2"/>
        <v>2158.6</v>
      </c>
      <c r="R18" s="147"/>
      <c r="S18" s="143"/>
      <c r="T18" s="144"/>
      <c r="U18" s="148">
        <f t="shared" si="3"/>
        <v>3.9405</v>
      </c>
      <c r="V18" s="144">
        <f>Q18+T18</f>
        <v>2158.6</v>
      </c>
      <c r="W18" s="116" t="e">
        <f>#REF!*(V18-#REF!)/1000</f>
        <v>#REF!</v>
      </c>
      <c r="X18" s="117" t="e">
        <f t="shared" si="0"/>
        <v>#REF!</v>
      </c>
      <c r="Y18" s="35"/>
      <c r="Z18" s="35"/>
    </row>
    <row r="19" spans="1:26" ht="17.25" customHeight="1" thickBot="1">
      <c r="A19" s="132" t="s">
        <v>12</v>
      </c>
      <c r="B19" s="128"/>
      <c r="C19" s="151"/>
      <c r="D19" s="151"/>
      <c r="E19" s="151"/>
      <c r="F19" s="151"/>
      <c r="G19" s="151"/>
      <c r="H19" s="152"/>
      <c r="I19" s="152"/>
      <c r="J19" s="138">
        <f>SUM(J10:J18)</f>
        <v>1274</v>
      </c>
      <c r="K19" s="138">
        <f>SUM(K10:K18)</f>
        <v>2078</v>
      </c>
      <c r="L19" s="139"/>
      <c r="M19" s="126"/>
      <c r="N19" s="139"/>
      <c r="O19" s="153">
        <f>SUM(O10:O18)</f>
        <v>6759.1</v>
      </c>
      <c r="P19" s="153">
        <f>SUM(P10:P18)</f>
        <v>12901.4</v>
      </c>
      <c r="Q19" s="153">
        <f>SUM(Q10:Q18)</f>
        <v>19660.499999999996</v>
      </c>
      <c r="R19" s="126"/>
      <c r="S19" s="138">
        <f aca="true" t="shared" si="4" ref="S19:X19">SUM(S10:S18)</f>
        <v>337</v>
      </c>
      <c r="T19" s="153">
        <f t="shared" si="4"/>
        <v>69.55680000000001</v>
      </c>
      <c r="U19" s="139">
        <f t="shared" si="4"/>
        <v>32.6314568</v>
      </c>
      <c r="V19" s="153">
        <f>SUM(V10:V18)</f>
        <v>19730.1468</v>
      </c>
      <c r="W19" s="121" t="e">
        <f t="shared" si="4"/>
        <v>#REF!</v>
      </c>
      <c r="X19" s="120" t="e">
        <f t="shared" si="4"/>
        <v>#REF!</v>
      </c>
      <c r="Y19" s="122"/>
      <c r="Z19" s="122"/>
    </row>
    <row r="20" spans="25:26" ht="12.75">
      <c r="Y20" s="118"/>
      <c r="Z20" s="118"/>
    </row>
    <row r="21" spans="1:22" s="36" customFormat="1" ht="39" customHeight="1">
      <c r="A21" s="518" t="s">
        <v>141</v>
      </c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P21" s="519" t="s">
        <v>143</v>
      </c>
      <c r="Q21" s="519"/>
      <c r="R21" s="519"/>
      <c r="S21" s="519"/>
      <c r="T21" s="519"/>
      <c r="U21" s="519"/>
      <c r="V21" s="519"/>
    </row>
    <row r="22" spans="1:26" ht="157.5" customHeight="1">
      <c r="A22" s="507" t="s">
        <v>4</v>
      </c>
      <c r="B22" s="128"/>
      <c r="C22" s="507" t="s">
        <v>138</v>
      </c>
      <c r="D22" s="507"/>
      <c r="E22" s="497" t="s">
        <v>139</v>
      </c>
      <c r="F22" s="497"/>
      <c r="G22" s="128"/>
      <c r="H22" s="497" t="s">
        <v>140</v>
      </c>
      <c r="I22" s="497"/>
      <c r="J22" s="497"/>
      <c r="K22" s="497" t="s">
        <v>142</v>
      </c>
      <c r="L22" s="497"/>
      <c r="M22" s="497"/>
      <c r="N22" s="497"/>
      <c r="O22" s="123"/>
      <c r="P22" s="507" t="s">
        <v>4</v>
      </c>
      <c r="Q22" s="507"/>
      <c r="R22" s="507"/>
      <c r="S22" s="497" t="s">
        <v>293</v>
      </c>
      <c r="T22" s="497" t="s">
        <v>296</v>
      </c>
      <c r="U22" s="497"/>
      <c r="V22" s="497" t="s">
        <v>294</v>
      </c>
      <c r="W22" s="501" t="s">
        <v>131</v>
      </c>
      <c r="X22" s="501" t="s">
        <v>132</v>
      </c>
      <c r="Y22" s="497" t="s">
        <v>295</v>
      </c>
      <c r="Z22" s="497" t="s">
        <v>332</v>
      </c>
    </row>
    <row r="23" spans="1:26" ht="25.5" customHeight="1">
      <c r="A23" s="507"/>
      <c r="B23" s="128"/>
      <c r="C23" s="507"/>
      <c r="D23" s="507"/>
      <c r="E23" s="497"/>
      <c r="F23" s="497"/>
      <c r="G23" s="129" t="s">
        <v>115</v>
      </c>
      <c r="H23" s="497"/>
      <c r="I23" s="497"/>
      <c r="J23" s="497"/>
      <c r="K23" s="125" t="s">
        <v>287</v>
      </c>
      <c r="L23" s="125" t="s">
        <v>288</v>
      </c>
      <c r="M23" s="125"/>
      <c r="N23" s="125" t="s">
        <v>333</v>
      </c>
      <c r="O23" s="33"/>
      <c r="P23" s="507"/>
      <c r="Q23" s="507"/>
      <c r="R23" s="507"/>
      <c r="S23" s="497"/>
      <c r="T23" s="497"/>
      <c r="U23" s="497"/>
      <c r="V23" s="497"/>
      <c r="W23" s="501"/>
      <c r="X23" s="501"/>
      <c r="Y23" s="497"/>
      <c r="Z23" s="497"/>
    </row>
    <row r="24" spans="1:26" ht="15">
      <c r="A24" s="126">
        <v>1</v>
      </c>
      <c r="B24" s="128"/>
      <c r="C24" s="508">
        <v>2</v>
      </c>
      <c r="D24" s="508"/>
      <c r="E24" s="508">
        <v>4</v>
      </c>
      <c r="F24" s="508"/>
      <c r="G24" s="129">
        <v>6</v>
      </c>
      <c r="H24" s="508">
        <v>8</v>
      </c>
      <c r="I24" s="508"/>
      <c r="J24" s="508"/>
      <c r="K24" s="498">
        <v>9</v>
      </c>
      <c r="L24" s="498"/>
      <c r="M24" s="498"/>
      <c r="N24" s="498"/>
      <c r="O24" s="34"/>
      <c r="P24" s="514">
        <v>1</v>
      </c>
      <c r="Q24" s="514"/>
      <c r="R24" s="514"/>
      <c r="S24" s="127">
        <v>2</v>
      </c>
      <c r="T24" s="127">
        <v>3</v>
      </c>
      <c r="U24" s="127"/>
      <c r="V24" s="127">
        <v>4</v>
      </c>
      <c r="W24" s="127">
        <v>21</v>
      </c>
      <c r="X24" s="127">
        <v>22</v>
      </c>
      <c r="Y24" s="127">
        <v>5</v>
      </c>
      <c r="Z24" s="127">
        <v>6</v>
      </c>
    </row>
    <row r="25" spans="1:26" ht="13.5" customHeight="1">
      <c r="A25" s="32" t="s">
        <v>10</v>
      </c>
      <c r="B25" s="128"/>
      <c r="C25" s="508">
        <v>189</v>
      </c>
      <c r="D25" s="508"/>
      <c r="E25" s="509">
        <v>54536.67</v>
      </c>
      <c r="F25" s="509"/>
      <c r="G25" s="31">
        <f>16.4*0.8</f>
        <v>13.12</v>
      </c>
      <c r="H25" s="515"/>
      <c r="I25" s="515"/>
      <c r="J25" s="515"/>
      <c r="K25" s="154">
        <v>10307.3</v>
      </c>
      <c r="L25" s="154">
        <v>10307.3</v>
      </c>
      <c r="M25" s="154">
        <v>10307.430629999999</v>
      </c>
      <c r="N25" s="154">
        <v>10307.430629999999</v>
      </c>
      <c r="O25" s="35"/>
      <c r="P25" s="511" t="s">
        <v>10</v>
      </c>
      <c r="Q25" s="511"/>
      <c r="R25" s="511"/>
      <c r="S25" s="144">
        <f>V10</f>
        <v>10313.5</v>
      </c>
      <c r="T25" s="144">
        <f>K25</f>
        <v>10307.3</v>
      </c>
      <c r="U25" s="144"/>
      <c r="V25" s="144">
        <f>S25+T25</f>
        <v>20620.8</v>
      </c>
      <c r="W25" s="156" t="e">
        <f>#REF!*(V25-#REF!)/1000+1.49</f>
        <v>#REF!</v>
      </c>
      <c r="X25" s="148" t="e">
        <f>W25+U25</f>
        <v>#REF!</v>
      </c>
      <c r="Y25" s="144">
        <v>20620.8</v>
      </c>
      <c r="Z25" s="144">
        <v>20620.8</v>
      </c>
    </row>
    <row r="26" spans="1:26" ht="15.75" customHeight="1">
      <c r="A26" s="32" t="s">
        <v>113</v>
      </c>
      <c r="B26" s="128"/>
      <c r="C26" s="508">
        <v>45</v>
      </c>
      <c r="D26" s="508"/>
      <c r="E26" s="509">
        <v>54571.1</v>
      </c>
      <c r="F26" s="509"/>
      <c r="G26" s="31">
        <f aca="true" t="shared" si="5" ref="G26:G33">16.4*0.8</f>
        <v>13.12</v>
      </c>
      <c r="H26" s="515"/>
      <c r="I26" s="515"/>
      <c r="J26" s="515"/>
      <c r="K26" s="154">
        <f aca="true" t="shared" si="6" ref="K26:K33">C26*(E26-H26)/1000</f>
        <v>2455.6995</v>
      </c>
      <c r="L26" s="154">
        <v>2455.6995</v>
      </c>
      <c r="M26" s="154">
        <v>2455.6995</v>
      </c>
      <c r="N26" s="154">
        <v>2455.6995</v>
      </c>
      <c r="O26" s="35"/>
      <c r="P26" s="511" t="s">
        <v>113</v>
      </c>
      <c r="Q26" s="511"/>
      <c r="R26" s="511"/>
      <c r="S26" s="144">
        <f aca="true" t="shared" si="7" ref="S26:S33">V11</f>
        <v>972.02</v>
      </c>
      <c r="T26" s="144">
        <f aca="true" t="shared" si="8" ref="T26:T33">K26</f>
        <v>2455.6995</v>
      </c>
      <c r="U26" s="144"/>
      <c r="V26" s="144">
        <f aca="true" t="shared" si="9" ref="V26:V33">S26+T26</f>
        <v>3427.7195</v>
      </c>
      <c r="W26" s="148" t="e">
        <f>#REF!*(V26-#REF!)/1000</f>
        <v>#REF!</v>
      </c>
      <c r="X26" s="148" t="e">
        <f>W26+U26</f>
        <v>#REF!</v>
      </c>
      <c r="Y26" s="144">
        <v>3427.7195</v>
      </c>
      <c r="Z26" s="144">
        <v>3427.7195</v>
      </c>
    </row>
    <row r="27" spans="1:26" ht="13.5" customHeight="1">
      <c r="A27" s="32" t="s">
        <v>109</v>
      </c>
      <c r="B27" s="128"/>
      <c r="C27" s="508">
        <v>34</v>
      </c>
      <c r="D27" s="508"/>
      <c r="E27" s="509">
        <v>54571.1</v>
      </c>
      <c r="F27" s="509"/>
      <c r="G27" s="31">
        <f t="shared" si="5"/>
        <v>13.12</v>
      </c>
      <c r="H27" s="512">
        <v>54571.1</v>
      </c>
      <c r="I27" s="512"/>
      <c r="J27" s="512"/>
      <c r="K27" s="154"/>
      <c r="L27" s="154"/>
      <c r="M27" s="154"/>
      <c r="N27" s="154"/>
      <c r="O27" s="35"/>
      <c r="P27" s="511" t="s">
        <v>109</v>
      </c>
      <c r="Q27" s="511"/>
      <c r="R27" s="511"/>
      <c r="S27" s="144">
        <f t="shared" si="7"/>
        <v>1303.8</v>
      </c>
      <c r="T27" s="144"/>
      <c r="U27" s="144"/>
      <c r="V27" s="144">
        <f t="shared" si="9"/>
        <v>1303.8</v>
      </c>
      <c r="W27" s="148" t="e">
        <f>#REF!*(V27-#REF!)/1000</f>
        <v>#REF!</v>
      </c>
      <c r="X27" s="148" t="e">
        <f>W27+U27</f>
        <v>#REF!</v>
      </c>
      <c r="Y27" s="144">
        <v>1303.8</v>
      </c>
      <c r="Z27" s="144">
        <v>1303.8</v>
      </c>
    </row>
    <row r="28" spans="1:26" ht="25.5" customHeight="1">
      <c r="A28" s="32" t="s">
        <v>116</v>
      </c>
      <c r="B28" s="128"/>
      <c r="C28" s="508"/>
      <c r="D28" s="508"/>
      <c r="E28" s="509"/>
      <c r="F28" s="509"/>
      <c r="G28" s="31"/>
      <c r="H28" s="512"/>
      <c r="I28" s="512"/>
      <c r="J28" s="512"/>
      <c r="K28" s="154"/>
      <c r="L28" s="154"/>
      <c r="M28" s="154"/>
      <c r="N28" s="154"/>
      <c r="O28" s="35"/>
      <c r="P28" s="511" t="s">
        <v>116</v>
      </c>
      <c r="Q28" s="511"/>
      <c r="R28" s="511"/>
      <c r="S28" s="144"/>
      <c r="T28" s="144"/>
      <c r="U28" s="144"/>
      <c r="V28" s="144"/>
      <c r="W28" s="148"/>
      <c r="X28" s="148"/>
      <c r="Y28" s="144"/>
      <c r="Z28" s="144"/>
    </row>
    <row r="29" spans="1:26" ht="26.25" customHeight="1">
      <c r="A29" s="32" t="s">
        <v>112</v>
      </c>
      <c r="B29" s="128"/>
      <c r="C29" s="508">
        <v>14</v>
      </c>
      <c r="D29" s="508"/>
      <c r="E29" s="509">
        <v>54571.1</v>
      </c>
      <c r="F29" s="509"/>
      <c r="G29" s="31">
        <f t="shared" si="5"/>
        <v>13.12</v>
      </c>
      <c r="H29" s="512">
        <v>25000</v>
      </c>
      <c r="I29" s="512"/>
      <c r="J29" s="512"/>
      <c r="K29" s="154">
        <f t="shared" si="6"/>
        <v>413.99539999999996</v>
      </c>
      <c r="L29" s="154">
        <v>413.99539999999996</v>
      </c>
      <c r="M29" s="154">
        <v>413.99539999999996</v>
      </c>
      <c r="N29" s="154">
        <v>413.99539999999996</v>
      </c>
      <c r="O29" s="35"/>
      <c r="P29" s="511" t="s">
        <v>112</v>
      </c>
      <c r="Q29" s="511"/>
      <c r="R29" s="511"/>
      <c r="S29" s="144">
        <f t="shared" si="7"/>
        <v>696.0128</v>
      </c>
      <c r="T29" s="144">
        <f t="shared" si="8"/>
        <v>413.99539999999996</v>
      </c>
      <c r="U29" s="144"/>
      <c r="V29" s="144">
        <f t="shared" si="9"/>
        <v>1110.0082</v>
      </c>
      <c r="W29" s="148" t="e">
        <f>#REF!*(V29-#REF!)/1000</f>
        <v>#REF!</v>
      </c>
      <c r="X29" s="148" t="e">
        <f>W29+U29</f>
        <v>#REF!</v>
      </c>
      <c r="Y29" s="144">
        <v>1110.0082</v>
      </c>
      <c r="Z29" s="144">
        <v>1110.0082</v>
      </c>
    </row>
    <row r="30" spans="1:26" ht="15" customHeight="1">
      <c r="A30" s="32" t="s">
        <v>117</v>
      </c>
      <c r="B30" s="128"/>
      <c r="C30" s="508">
        <v>41</v>
      </c>
      <c r="D30" s="508"/>
      <c r="E30" s="509">
        <v>54571.1</v>
      </c>
      <c r="F30" s="509"/>
      <c r="G30" s="31">
        <f t="shared" si="5"/>
        <v>13.12</v>
      </c>
      <c r="H30" s="512">
        <v>39772</v>
      </c>
      <c r="I30" s="512"/>
      <c r="J30" s="512"/>
      <c r="K30" s="154">
        <f t="shared" si="6"/>
        <v>606.7631</v>
      </c>
      <c r="L30" s="154">
        <v>606.7631</v>
      </c>
      <c r="M30" s="154">
        <v>606.7631</v>
      </c>
      <c r="N30" s="154">
        <v>606.7631</v>
      </c>
      <c r="O30" s="35"/>
      <c r="P30" s="511" t="s">
        <v>117</v>
      </c>
      <c r="Q30" s="511"/>
      <c r="R30" s="511"/>
      <c r="S30" s="144">
        <f t="shared" si="7"/>
        <v>2129.292</v>
      </c>
      <c r="T30" s="144">
        <f t="shared" si="8"/>
        <v>606.7631</v>
      </c>
      <c r="U30" s="144"/>
      <c r="V30" s="144">
        <f t="shared" si="9"/>
        <v>2736.0551</v>
      </c>
      <c r="W30" s="148" t="e">
        <f>#REF!*(V30-#REF!)/1000</f>
        <v>#REF!</v>
      </c>
      <c r="X30" s="148" t="e">
        <f>W30+U30</f>
        <v>#REF!</v>
      </c>
      <c r="Y30" s="144">
        <v>2736.0551</v>
      </c>
      <c r="Z30" s="144">
        <v>2736.0551</v>
      </c>
    </row>
    <row r="31" spans="1:26" ht="14.25" customHeight="1">
      <c r="A31" s="32" t="s">
        <v>118</v>
      </c>
      <c r="B31" s="128"/>
      <c r="C31" s="508">
        <v>40</v>
      </c>
      <c r="D31" s="508"/>
      <c r="E31" s="509">
        <v>54571.1</v>
      </c>
      <c r="F31" s="509"/>
      <c r="G31" s="31">
        <f t="shared" si="5"/>
        <v>13.12</v>
      </c>
      <c r="H31" s="512">
        <v>31300</v>
      </c>
      <c r="I31" s="512"/>
      <c r="J31" s="512"/>
      <c r="K31" s="154">
        <f t="shared" si="6"/>
        <v>930.844</v>
      </c>
      <c r="L31" s="154">
        <v>930.844</v>
      </c>
      <c r="M31" s="154">
        <v>930.844</v>
      </c>
      <c r="N31" s="154">
        <v>930.844</v>
      </c>
      <c r="O31" s="35"/>
      <c r="P31" s="511" t="s">
        <v>118</v>
      </c>
      <c r="Q31" s="511"/>
      <c r="R31" s="511"/>
      <c r="S31" s="144">
        <f t="shared" si="7"/>
        <v>1087.23</v>
      </c>
      <c r="T31" s="144">
        <f t="shared" si="8"/>
        <v>930.844</v>
      </c>
      <c r="U31" s="144"/>
      <c r="V31" s="144">
        <v>2018</v>
      </c>
      <c r="W31" s="148" t="e">
        <f>#REF!*(V31-#REF!)/1000</f>
        <v>#REF!</v>
      </c>
      <c r="X31" s="148" t="e">
        <f>W31+U31</f>
        <v>#REF!</v>
      </c>
      <c r="Y31" s="144">
        <v>2018</v>
      </c>
      <c r="Z31" s="144">
        <v>2018</v>
      </c>
    </row>
    <row r="32" spans="1:26" ht="15" customHeight="1">
      <c r="A32" s="32" t="s">
        <v>119</v>
      </c>
      <c r="B32" s="128"/>
      <c r="C32" s="508">
        <v>22</v>
      </c>
      <c r="D32" s="508"/>
      <c r="E32" s="509">
        <v>54571.1</v>
      </c>
      <c r="F32" s="509"/>
      <c r="G32" s="31">
        <f t="shared" si="5"/>
        <v>13.12</v>
      </c>
      <c r="H32" s="512">
        <v>33272.73</v>
      </c>
      <c r="I32" s="512"/>
      <c r="J32" s="512"/>
      <c r="K32" s="154">
        <f t="shared" si="6"/>
        <v>468.5641399999999</v>
      </c>
      <c r="L32" s="154">
        <v>468.5641399999999</v>
      </c>
      <c r="M32" s="154">
        <v>468.5641399999999</v>
      </c>
      <c r="N32" s="154">
        <v>468.5641399999999</v>
      </c>
      <c r="O32" s="35"/>
      <c r="P32" s="511" t="s">
        <v>119</v>
      </c>
      <c r="Q32" s="511"/>
      <c r="R32" s="511"/>
      <c r="S32" s="144">
        <f t="shared" si="7"/>
        <v>1069.692</v>
      </c>
      <c r="T32" s="144">
        <f t="shared" si="8"/>
        <v>468.5641399999999</v>
      </c>
      <c r="U32" s="144"/>
      <c r="V32" s="144">
        <f t="shared" si="9"/>
        <v>1538.25614</v>
      </c>
      <c r="W32" s="148" t="e">
        <f>#REF!*(V32-#REF!)/1000</f>
        <v>#REF!</v>
      </c>
      <c r="X32" s="148" t="e">
        <f>W32+U32</f>
        <v>#REF!</v>
      </c>
      <c r="Y32" s="144">
        <v>1538.25614</v>
      </c>
      <c r="Z32" s="144">
        <v>1538.25614</v>
      </c>
    </row>
    <row r="33" spans="1:26" ht="15.75" customHeight="1">
      <c r="A33" s="32" t="s">
        <v>120</v>
      </c>
      <c r="B33" s="128"/>
      <c r="C33" s="508">
        <v>44</v>
      </c>
      <c r="D33" s="508"/>
      <c r="E33" s="509">
        <v>54571.1</v>
      </c>
      <c r="F33" s="509"/>
      <c r="G33" s="31">
        <f t="shared" si="5"/>
        <v>13.12</v>
      </c>
      <c r="H33" s="512">
        <v>30864.8</v>
      </c>
      <c r="I33" s="512"/>
      <c r="J33" s="512"/>
      <c r="K33" s="154">
        <f t="shared" si="6"/>
        <v>1043.0772</v>
      </c>
      <c r="L33" s="154">
        <v>1043.0772</v>
      </c>
      <c r="M33" s="154">
        <v>1043.0772</v>
      </c>
      <c r="N33" s="154">
        <v>1043.0772</v>
      </c>
      <c r="O33" s="35"/>
      <c r="P33" s="511" t="s">
        <v>120</v>
      </c>
      <c r="Q33" s="511"/>
      <c r="R33" s="511"/>
      <c r="S33" s="144">
        <f t="shared" si="7"/>
        <v>2158.6</v>
      </c>
      <c r="T33" s="144">
        <f t="shared" si="8"/>
        <v>1043.0772</v>
      </c>
      <c r="U33" s="144"/>
      <c r="V33" s="144">
        <f t="shared" si="9"/>
        <v>3201.6772</v>
      </c>
      <c r="W33" s="148" t="e">
        <f>#REF!*(V33-#REF!)/1000</f>
        <v>#REF!</v>
      </c>
      <c r="X33" s="148" t="e">
        <f>W33+U33</f>
        <v>#REF!</v>
      </c>
      <c r="Y33" s="144">
        <v>3201.6772</v>
      </c>
      <c r="Z33" s="144">
        <v>3201.6772</v>
      </c>
    </row>
    <row r="34" spans="1:26" s="119" customFormat="1" ht="21" customHeight="1">
      <c r="A34" s="136" t="s">
        <v>12</v>
      </c>
      <c r="B34" s="137"/>
      <c r="C34" s="516">
        <f>SUM(C25:D33)</f>
        <v>429</v>
      </c>
      <c r="D34" s="516"/>
      <c r="E34" s="517"/>
      <c r="F34" s="517"/>
      <c r="G34" s="133"/>
      <c r="H34" s="516"/>
      <c r="I34" s="516"/>
      <c r="J34" s="516"/>
      <c r="K34" s="155">
        <v>16226.3</v>
      </c>
      <c r="L34" s="155">
        <v>16226.3</v>
      </c>
      <c r="M34" s="155"/>
      <c r="N34" s="155">
        <v>16226.3</v>
      </c>
      <c r="O34" s="122"/>
      <c r="P34" s="513" t="s">
        <v>12</v>
      </c>
      <c r="Q34" s="513"/>
      <c r="R34" s="513"/>
      <c r="S34" s="153">
        <f>SUM(S25:S33)</f>
        <v>19730.1468</v>
      </c>
      <c r="T34" s="153">
        <f>SUM(T24:T33)</f>
        <v>16229.243339999999</v>
      </c>
      <c r="U34" s="153">
        <f>SUM(U24:U33)</f>
        <v>0</v>
      </c>
      <c r="V34" s="153">
        <v>35956.4</v>
      </c>
      <c r="W34" s="139" t="e">
        <f>SUM(W25:W33)</f>
        <v>#REF!</v>
      </c>
      <c r="X34" s="139" t="e">
        <f>SUM(X25:X33)</f>
        <v>#REF!</v>
      </c>
      <c r="Y34" s="153">
        <v>35956.4</v>
      </c>
      <c r="Z34" s="153">
        <v>35956.4</v>
      </c>
    </row>
  </sheetData>
  <sheetProtection/>
  <mergeCells count="82">
    <mergeCell ref="P32:R32"/>
    <mergeCell ref="P33:R33"/>
    <mergeCell ref="H34:J34"/>
    <mergeCell ref="E34:F34"/>
    <mergeCell ref="C34:D34"/>
    <mergeCell ref="A21:N21"/>
    <mergeCell ref="P21:V21"/>
    <mergeCell ref="P22:R23"/>
    <mergeCell ref="P25:R25"/>
    <mergeCell ref="P26:R26"/>
    <mergeCell ref="P34:R34"/>
    <mergeCell ref="P24:R24"/>
    <mergeCell ref="E33:F33"/>
    <mergeCell ref="H25:J25"/>
    <mergeCell ref="H26:J26"/>
    <mergeCell ref="H27:J27"/>
    <mergeCell ref="H28:J28"/>
    <mergeCell ref="H29:J29"/>
    <mergeCell ref="H30:J30"/>
    <mergeCell ref="H32:J32"/>
    <mergeCell ref="H33:J33"/>
    <mergeCell ref="H31:J31"/>
    <mergeCell ref="E29:F29"/>
    <mergeCell ref="E30:F30"/>
    <mergeCell ref="E31:F31"/>
    <mergeCell ref="E32:F32"/>
    <mergeCell ref="A1:Z1"/>
    <mergeCell ref="A2:Z2"/>
    <mergeCell ref="P28:R28"/>
    <mergeCell ref="P29:R29"/>
    <mergeCell ref="P30:R30"/>
    <mergeCell ref="P31:R31"/>
    <mergeCell ref="P27:R27"/>
    <mergeCell ref="E25:F25"/>
    <mergeCell ref="E26:F26"/>
    <mergeCell ref="E27:F27"/>
    <mergeCell ref="H24:J24"/>
    <mergeCell ref="E28:F28"/>
    <mergeCell ref="C32:D32"/>
    <mergeCell ref="C33:D33"/>
    <mergeCell ref="O7:Q7"/>
    <mergeCell ref="A7:A8"/>
    <mergeCell ref="C7:D7"/>
    <mergeCell ref="E7:F7"/>
    <mergeCell ref="H7:I7"/>
    <mergeCell ref="J7:K7"/>
    <mergeCell ref="C30:D30"/>
    <mergeCell ref="C31:D31"/>
    <mergeCell ref="C24:D24"/>
    <mergeCell ref="C22:D23"/>
    <mergeCell ref="E24:F24"/>
    <mergeCell ref="C25:D25"/>
    <mergeCell ref="C26:D26"/>
    <mergeCell ref="C27:D27"/>
    <mergeCell ref="C28:D28"/>
    <mergeCell ref="C29:D29"/>
    <mergeCell ref="A3:Z3"/>
    <mergeCell ref="A4:Z4"/>
    <mergeCell ref="U22:U23"/>
    <mergeCell ref="V22:V23"/>
    <mergeCell ref="V7:V8"/>
    <mergeCell ref="W7:W8"/>
    <mergeCell ref="L7:L8"/>
    <mergeCell ref="N7:N8"/>
    <mergeCell ref="A22:A23"/>
    <mergeCell ref="R7:R8"/>
    <mergeCell ref="T7:T8"/>
    <mergeCell ref="U7:U8"/>
    <mergeCell ref="S22:S23"/>
    <mergeCell ref="T22:T23"/>
    <mergeCell ref="E22:F23"/>
    <mergeCell ref="H22:J23"/>
    <mergeCell ref="Z7:Z8"/>
    <mergeCell ref="Z22:Z23"/>
    <mergeCell ref="K22:N22"/>
    <mergeCell ref="K24:N24"/>
    <mergeCell ref="Y7:Y8"/>
    <mergeCell ref="Y22:Y23"/>
    <mergeCell ref="X7:X8"/>
    <mergeCell ref="W22:W23"/>
    <mergeCell ref="X22:X23"/>
    <mergeCell ref="S7:S8"/>
  </mergeCells>
  <printOptions/>
  <pageMargins left="0.15748031496062992" right="0.15748031496062992" top="0.7086614173228347" bottom="0.2362204724409449" header="0.31496062992125984" footer="0.1968503937007874"/>
  <pageSetup fitToHeight="1" fitToWidth="1" horizontalDpi="600" verticalDpi="600" orientation="landscape" paperSize="9" scale="63" r:id="rId1"/>
  <rowBreaks count="1" manualBreakCount="1">
    <brk id="34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6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34.375" style="22" customWidth="1"/>
    <col min="2" max="2" width="19.75390625" style="22" customWidth="1"/>
    <col min="3" max="3" width="19.00390625" style="22" customWidth="1"/>
    <col min="4" max="4" width="14.625" style="22" customWidth="1"/>
    <col min="5" max="5" width="18.125" style="22" customWidth="1"/>
    <col min="6" max="6" width="15.375" style="22" customWidth="1"/>
    <col min="7" max="9" width="19.625" style="22" customWidth="1"/>
    <col min="10" max="16384" width="9.125" style="22" customWidth="1"/>
  </cols>
  <sheetData>
    <row r="1" spans="1:9" ht="19.5" customHeight="1">
      <c r="A1" s="522" t="s">
        <v>107</v>
      </c>
      <c r="B1" s="522"/>
      <c r="C1" s="522"/>
      <c r="D1" s="522"/>
      <c r="E1" s="522"/>
      <c r="F1" s="522"/>
      <c r="G1" s="522"/>
      <c r="H1" s="522"/>
      <c r="I1" s="522"/>
    </row>
    <row r="2" spans="1:9" s="24" customFormat="1" ht="36" customHeight="1">
      <c r="A2" s="521" t="s">
        <v>299</v>
      </c>
      <c r="B2" s="521"/>
      <c r="C2" s="521"/>
      <c r="D2" s="521"/>
      <c r="E2" s="521"/>
      <c r="F2" s="521"/>
      <c r="G2" s="521"/>
      <c r="H2" s="521"/>
      <c r="I2" s="521"/>
    </row>
    <row r="3" spans="1:7" s="24" customFormat="1" ht="23.25" customHeight="1">
      <c r="A3" s="520"/>
      <c r="B3" s="520"/>
      <c r="C3" s="520"/>
      <c r="D3" s="520"/>
      <c r="E3" s="520"/>
      <c r="F3" s="520"/>
      <c r="G3" s="520"/>
    </row>
    <row r="4" spans="1:3" s="24" customFormat="1" ht="12" customHeight="1">
      <c r="A4" s="26"/>
      <c r="B4" s="26"/>
      <c r="C4" s="26"/>
    </row>
    <row r="5" spans="4:9" ht="15">
      <c r="D5" s="23"/>
      <c r="G5" s="25"/>
      <c r="H5" s="25"/>
      <c r="I5" s="25" t="s">
        <v>30</v>
      </c>
    </row>
    <row r="6" spans="1:9" s="24" customFormat="1" ht="129" customHeight="1">
      <c r="A6" s="87" t="s">
        <v>4</v>
      </c>
      <c r="B6" s="88" t="s">
        <v>145</v>
      </c>
      <c r="C6" s="88" t="s">
        <v>146</v>
      </c>
      <c r="D6" s="88" t="s">
        <v>300</v>
      </c>
      <c r="E6" s="88" t="s">
        <v>221</v>
      </c>
      <c r="F6" s="61" t="s">
        <v>220</v>
      </c>
      <c r="G6" s="93" t="s">
        <v>301</v>
      </c>
      <c r="H6" s="93" t="s">
        <v>302</v>
      </c>
      <c r="I6" s="93" t="s">
        <v>331</v>
      </c>
    </row>
    <row r="7" spans="1:9" s="24" customFormat="1" ht="15.75">
      <c r="A7" s="66" t="s">
        <v>14</v>
      </c>
      <c r="B7" s="85"/>
      <c r="C7" s="85"/>
      <c r="D7" s="86"/>
      <c r="E7" s="86"/>
      <c r="F7" s="86"/>
      <c r="G7" s="86"/>
      <c r="H7" s="86"/>
      <c r="I7" s="86"/>
    </row>
    <row r="8" spans="1:9" s="24" customFormat="1" ht="15.75">
      <c r="A8" s="89" t="s">
        <v>113</v>
      </c>
      <c r="B8" s="85"/>
      <c r="C8" s="85"/>
      <c r="D8" s="86"/>
      <c r="E8" s="86"/>
      <c r="F8" s="86"/>
      <c r="G8" s="86"/>
      <c r="H8" s="86">
        <v>1636.4</v>
      </c>
      <c r="I8" s="90"/>
    </row>
    <row r="9" spans="1:9" s="24" customFormat="1" ht="15.75">
      <c r="A9" s="89" t="s">
        <v>109</v>
      </c>
      <c r="B9" s="85"/>
      <c r="C9" s="85"/>
      <c r="D9" s="86"/>
      <c r="E9" s="86"/>
      <c r="F9" s="86"/>
      <c r="G9" s="86"/>
      <c r="H9" s="86"/>
      <c r="I9" s="86"/>
    </row>
    <row r="10" spans="1:9" s="24" customFormat="1" ht="15.75">
      <c r="A10" s="89" t="s">
        <v>116</v>
      </c>
      <c r="B10" s="85"/>
      <c r="C10" s="85"/>
      <c r="D10" s="86"/>
      <c r="E10" s="86"/>
      <c r="F10" s="86"/>
      <c r="G10" s="86"/>
      <c r="H10" s="86"/>
      <c r="I10" s="86"/>
    </row>
    <row r="11" spans="1:9" s="24" customFormat="1" ht="15.75">
      <c r="A11" s="89" t="s">
        <v>112</v>
      </c>
      <c r="B11" s="85"/>
      <c r="C11" s="85"/>
      <c r="D11" s="86"/>
      <c r="E11" s="86"/>
      <c r="F11" s="86"/>
      <c r="G11" s="86"/>
      <c r="H11" s="86"/>
      <c r="I11" s="86"/>
    </row>
    <row r="12" spans="1:9" s="24" customFormat="1" ht="15.75">
      <c r="A12" s="89" t="s">
        <v>117</v>
      </c>
      <c r="B12" s="85">
        <v>1636.4</v>
      </c>
      <c r="C12" s="85">
        <v>1686.4</v>
      </c>
      <c r="D12" s="86">
        <v>50</v>
      </c>
      <c r="E12" s="86">
        <v>1686.4</v>
      </c>
      <c r="F12" s="86">
        <v>50</v>
      </c>
      <c r="G12" s="86">
        <v>1636.4</v>
      </c>
      <c r="H12" s="86"/>
      <c r="I12" s="86"/>
    </row>
    <row r="13" spans="1:9" s="24" customFormat="1" ht="15.75">
      <c r="A13" s="89" t="s">
        <v>118</v>
      </c>
      <c r="B13" s="85"/>
      <c r="C13" s="85"/>
      <c r="D13" s="86"/>
      <c r="E13" s="86"/>
      <c r="F13" s="86"/>
      <c r="G13" s="86"/>
      <c r="H13" s="86"/>
      <c r="I13" s="86"/>
    </row>
    <row r="14" spans="1:9" s="24" customFormat="1" ht="15.75">
      <c r="A14" s="89" t="s">
        <v>119</v>
      </c>
      <c r="B14" s="85"/>
      <c r="C14" s="85"/>
      <c r="D14" s="86"/>
      <c r="E14" s="86"/>
      <c r="F14" s="86"/>
      <c r="G14" s="86"/>
      <c r="H14" s="86"/>
      <c r="I14" s="86">
        <v>1636.4</v>
      </c>
    </row>
    <row r="15" spans="1:9" s="24" customFormat="1" ht="15.75">
      <c r="A15" s="89" t="s">
        <v>120</v>
      </c>
      <c r="B15" s="85"/>
      <c r="C15" s="85"/>
      <c r="D15" s="86"/>
      <c r="E15" s="86"/>
      <c r="F15" s="86"/>
      <c r="G15" s="86"/>
      <c r="H15" s="86"/>
      <c r="I15" s="86"/>
    </row>
    <row r="16" spans="1:9" s="24" customFormat="1" ht="16.5" customHeight="1">
      <c r="A16" s="91" t="s">
        <v>12</v>
      </c>
      <c r="B16" s="92">
        <f>SUM(B7:B15)</f>
        <v>1636.4</v>
      </c>
      <c r="C16" s="92">
        <f>SUM(C7:C15)</f>
        <v>1686.4</v>
      </c>
      <c r="D16" s="92">
        <f aca="true" t="shared" si="0" ref="D16:I16">SUM(D7:D15)</f>
        <v>50</v>
      </c>
      <c r="E16" s="92">
        <f t="shared" si="0"/>
        <v>1686.4</v>
      </c>
      <c r="F16" s="92">
        <f t="shared" si="0"/>
        <v>50</v>
      </c>
      <c r="G16" s="92">
        <f t="shared" si="0"/>
        <v>1636.4</v>
      </c>
      <c r="H16" s="92">
        <f t="shared" si="0"/>
        <v>1636.4</v>
      </c>
      <c r="I16" s="92">
        <f t="shared" si="0"/>
        <v>1636.4</v>
      </c>
    </row>
  </sheetData>
  <sheetProtection/>
  <mergeCells count="3">
    <mergeCell ref="A3:G3"/>
    <mergeCell ref="A2:I2"/>
    <mergeCell ref="A1:I1"/>
  </mergeCells>
  <printOptions horizontalCentered="1"/>
  <pageMargins left="0.3937007874015748" right="0.4330708661417323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Швец Элина Александровна</cp:lastModifiedBy>
  <cp:lastPrinted>2017-10-27T02:59:54Z</cp:lastPrinted>
  <dcterms:created xsi:type="dcterms:W3CDTF">2002-04-21T04:23:27Z</dcterms:created>
  <dcterms:modified xsi:type="dcterms:W3CDTF">2017-10-27T03:15:38Z</dcterms:modified>
  <cp:category/>
  <cp:version/>
  <cp:contentType/>
  <cp:contentStatus/>
</cp:coreProperties>
</file>