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9 и 2020-2021 годы\ВТОРОЕ ЧТЕНИЕ\"/>
    </mc:Choice>
  </mc:AlternateContent>
  <bookViews>
    <workbookView xWindow="0" yWindow="0" windowWidth="28800" windowHeight="12435" tabRatio="894" firstSheet="22" activeTab="36"/>
  </bookViews>
  <sheets>
    <sheet name="Дружина" sheetId="175" r:id="rId1"/>
    <sheet name="опека-свод" sheetId="176" r:id="rId2"/>
    <sheet name="опека-минтруд" sheetId="189" r:id="rId3"/>
    <sheet name="опека-минобр" sheetId="95" r:id="rId4"/>
    <sheet name="Шк" sheetId="174" r:id="rId5"/>
    <sheet name="ДО" sheetId="171" r:id="rId6"/>
    <sheet name="ОО" sheetId="170" state="hidden" r:id="rId7"/>
    <sheet name="категор" sheetId="158" r:id="rId8"/>
    <sheet name="пед работники" sheetId="97" r:id="rId9"/>
    <sheet name="кл. рук-во" sheetId="96" r:id="rId10"/>
    <sheet name="КПДН" sheetId="66" r:id="rId11"/>
    <sheet name="безнадзорные" sheetId="194" r:id="rId12"/>
    <sheet name="выезжающ" sheetId="191" r:id="rId13"/>
    <sheet name="адм комис" sheetId="190" r:id="rId14"/>
    <sheet name="жилье дети-сир по найму" sheetId="193" r:id="rId15"/>
    <sheet name="жилье дети-сироты" sheetId="138" r:id="rId16"/>
    <sheet name="летн отдых" sheetId="98" r:id="rId17"/>
    <sheet name="автобус" sheetId="120" r:id="rId18"/>
    <sheet name="льготы ЖКХ (обр)" sheetId="122" r:id="rId19"/>
    <sheet name="молодая семья" sheetId="195" r:id="rId20"/>
    <sheet name="обр процесс ДОУ" sheetId="136" state="hidden" r:id="rId21"/>
    <sheet name="обр процесс школы" sheetId="137" state="hidden" r:id="rId22"/>
    <sheet name="питание" sheetId="103" r:id="rId23"/>
    <sheet name="питание (многодет)" sheetId="163" r:id="rId24"/>
    <sheet name="туб интоксикация" sheetId="161" r:id="rId25"/>
    <sheet name="присмотр ОВЗ" sheetId="162" r:id="rId26"/>
    <sheet name="спорт" sheetId="178" r:id="rId27"/>
    <sheet name="повыш квал" sheetId="179" r:id="rId28"/>
    <sheet name="доппроф обр" sheetId="180" r:id="rId29"/>
    <sheet name="кадр резерв" sheetId="181" r:id="rId30"/>
    <sheet name="почетн" sheetId="182" r:id="rId31"/>
    <sheet name="кадастр Минтруд" sheetId="183" r:id="rId32"/>
    <sheet name="Загс полном" sheetId="184" r:id="rId33"/>
    <sheet name="Загс конверт" sheetId="185" r:id="rId34"/>
    <sheet name="военкомат" sheetId="186" r:id="rId35"/>
    <sheet name="ЖКУ культ" sheetId="187" r:id="rId36"/>
    <sheet name="библ дело" sheetId="188" r:id="rId37"/>
  </sheets>
  <externalReferences>
    <externalReference r:id="rId38"/>
  </externalReferences>
  <definedNames>
    <definedName name="_xlnm.Print_Titles" localSheetId="12">выезжающ!$4:$4</definedName>
    <definedName name="_xlnm.Print_Titles" localSheetId="5">ДО!$5:$5</definedName>
    <definedName name="_xlnm.Print_Titles" localSheetId="7">категор!$5:$6</definedName>
    <definedName name="_xlnm.Print_Titles" localSheetId="6">ОО!$5:$5</definedName>
    <definedName name="_xlnm.Print_Titles" localSheetId="4">Шк!$5:$5</definedName>
    <definedName name="_xlnm.Print_Area" localSheetId="14">'жилье дети-сир по найму'!$A$1:$T$43</definedName>
    <definedName name="_xlnm.Print_Area" localSheetId="7">категор!$A$1:$M$158</definedName>
    <definedName name="_xlnm.Print_Area" localSheetId="16">'летн отдых'!$A$1:$T$35</definedName>
    <definedName name="_xlnm.Print_Area" localSheetId="3">'опека-минобр'!$A$1:$X$43</definedName>
  </definedNames>
  <calcPr calcId="152511"/>
</workbook>
</file>

<file path=xl/calcChain.xml><?xml version="1.0" encoding="utf-8"?>
<calcChain xmlns="http://schemas.openxmlformats.org/spreadsheetml/2006/main">
  <c r="Q15" i="195" l="1"/>
  <c r="P15" i="195"/>
  <c r="K15" i="195"/>
  <c r="F15" i="195"/>
  <c r="Q14" i="195"/>
  <c r="P14" i="195"/>
  <c r="K14" i="195"/>
  <c r="F14" i="195"/>
  <c r="Q13" i="195"/>
  <c r="P13" i="195"/>
  <c r="K13" i="195"/>
  <c r="F13" i="195"/>
  <c r="Q12" i="195"/>
  <c r="P12" i="195"/>
  <c r="K12" i="195"/>
  <c r="F12" i="195"/>
  <c r="Q11" i="195"/>
  <c r="P11" i="195"/>
  <c r="K11" i="195"/>
  <c r="F11" i="195"/>
  <c r="Q10" i="195"/>
  <c r="P10" i="195"/>
  <c r="K10" i="195"/>
  <c r="F10" i="195"/>
  <c r="Q9" i="195"/>
  <c r="P9" i="195"/>
  <c r="K9" i="195"/>
  <c r="F9" i="195"/>
  <c r="Q8" i="195"/>
  <c r="P8" i="195"/>
  <c r="K8" i="195"/>
  <c r="F8" i="195"/>
  <c r="Q7" i="195"/>
  <c r="Q16" i="195" s="1"/>
  <c r="P7" i="195"/>
  <c r="P16" i="195" s="1"/>
  <c r="K7" i="195"/>
  <c r="K16" i="195" s="1"/>
  <c r="F7" i="195"/>
  <c r="F16" i="195" s="1"/>
  <c r="J10" i="122"/>
  <c r="J11" i="122"/>
  <c r="J12" i="122"/>
  <c r="J13" i="122"/>
  <c r="J14" i="122"/>
  <c r="J15" i="122"/>
  <c r="J16" i="122"/>
  <c r="J17" i="122"/>
  <c r="J18" i="122"/>
  <c r="J9" i="122"/>
  <c r="I18" i="122"/>
  <c r="I10" i="122"/>
  <c r="I11" i="122"/>
  <c r="I12" i="122"/>
  <c r="I13" i="122"/>
  <c r="I14" i="122"/>
  <c r="I15" i="122"/>
  <c r="I16" i="122"/>
  <c r="I17" i="122"/>
  <c r="I9" i="122"/>
  <c r="D17" i="122"/>
  <c r="H17" i="122" s="1"/>
  <c r="D16" i="122"/>
  <c r="H16" i="122" s="1"/>
  <c r="D15" i="122"/>
  <c r="H15" i="122" s="1"/>
  <c r="D14" i="122"/>
  <c r="H14" i="122" s="1"/>
  <c r="D13" i="122"/>
  <c r="H13" i="122" s="1"/>
  <c r="D12" i="122"/>
  <c r="H12" i="122" s="1"/>
  <c r="D11" i="122"/>
  <c r="H11" i="122" s="1"/>
  <c r="D10" i="122"/>
  <c r="H10" i="122" s="1"/>
  <c r="D9" i="122"/>
  <c r="H9" i="122" s="1"/>
  <c r="I10" i="138"/>
  <c r="E10" i="138"/>
  <c r="G10" i="138" s="1"/>
  <c r="I20" i="187" l="1"/>
  <c r="H20" i="187"/>
  <c r="G20" i="187"/>
  <c r="F5" i="188" l="1"/>
  <c r="E5" i="188"/>
  <c r="D5" i="188"/>
  <c r="D4" i="188" s="1"/>
  <c r="C5" i="188"/>
  <c r="B5" i="188"/>
  <c r="F4" i="188"/>
  <c r="E4" i="188"/>
  <c r="B8" i="194" l="1"/>
  <c r="C18" i="186" l="1"/>
  <c r="B18" i="186"/>
  <c r="G12" i="186"/>
  <c r="F12" i="186"/>
  <c r="E12" i="186"/>
  <c r="D12" i="186"/>
  <c r="I9" i="186"/>
  <c r="M14" i="185"/>
  <c r="L14" i="185"/>
  <c r="B14" i="185"/>
  <c r="G13" i="185"/>
  <c r="F13" i="185"/>
  <c r="C13" i="185"/>
  <c r="G12" i="185"/>
  <c r="F12" i="185"/>
  <c r="C12" i="185"/>
  <c r="G11" i="185"/>
  <c r="F11" i="185"/>
  <c r="C11" i="185"/>
  <c r="G10" i="185"/>
  <c r="F10" i="185"/>
  <c r="C10" i="185"/>
  <c r="G9" i="185"/>
  <c r="F9" i="185"/>
  <c r="C9" i="185"/>
  <c r="G8" i="185"/>
  <c r="F8" i="185"/>
  <c r="C8" i="185"/>
  <c r="G7" i="185"/>
  <c r="F7" i="185"/>
  <c r="C7" i="185"/>
  <c r="G6" i="185"/>
  <c r="F6" i="185"/>
  <c r="G5" i="185"/>
  <c r="F5" i="185"/>
  <c r="AT14" i="184"/>
  <c r="AS14" i="184"/>
  <c r="AR14" i="184"/>
  <c r="AO14" i="184"/>
  <c r="F14" i="184"/>
  <c r="E14" i="184"/>
  <c r="AO13" i="184"/>
  <c r="D13" i="184"/>
  <c r="C13" i="184"/>
  <c r="B13" i="184"/>
  <c r="AO12" i="184"/>
  <c r="D12" i="184"/>
  <c r="C12" i="184"/>
  <c r="B12" i="184"/>
  <c r="AO11" i="184"/>
  <c r="D11" i="184"/>
  <c r="C11" i="184"/>
  <c r="B11" i="184"/>
  <c r="AO10" i="184"/>
  <c r="D10" i="184"/>
  <c r="C10" i="184"/>
  <c r="B10" i="184"/>
  <c r="AO9" i="184"/>
  <c r="D9" i="184"/>
  <c r="C9" i="184"/>
  <c r="B9" i="184"/>
  <c r="AO8" i="184"/>
  <c r="D8" i="184"/>
  <c r="C8" i="184"/>
  <c r="B8" i="184"/>
  <c r="AO7" i="184"/>
  <c r="D7" i="184"/>
  <c r="C7" i="184"/>
  <c r="B7" i="184"/>
  <c r="AO6" i="184"/>
  <c r="D6" i="184"/>
  <c r="C6" i="184"/>
  <c r="B6" i="184"/>
  <c r="AO5" i="184"/>
  <c r="D5" i="184"/>
  <c r="C5" i="184"/>
  <c r="B5" i="184"/>
  <c r="G7" i="183"/>
  <c r="F7" i="183"/>
  <c r="E7" i="183"/>
  <c r="B7" i="183"/>
  <c r="E6" i="183"/>
  <c r="E5" i="183"/>
  <c r="I13" i="182"/>
  <c r="H13" i="182"/>
  <c r="G13" i="182"/>
  <c r="F13" i="182"/>
  <c r="E13" i="182"/>
  <c r="D13" i="182"/>
  <c r="C13" i="182"/>
  <c r="B13" i="182"/>
  <c r="I12" i="182"/>
  <c r="H12" i="182"/>
  <c r="F12" i="182"/>
  <c r="E12" i="182"/>
  <c r="D12" i="182"/>
  <c r="I11" i="182"/>
  <c r="H11" i="182"/>
  <c r="I10" i="182"/>
  <c r="H10" i="182"/>
  <c r="F10" i="182"/>
  <c r="E10" i="182"/>
  <c r="D10" i="182"/>
  <c r="I9" i="182"/>
  <c r="H9" i="182"/>
  <c r="F9" i="182"/>
  <c r="E9" i="182"/>
  <c r="D9" i="182"/>
  <c r="I8" i="182"/>
  <c r="H8" i="182"/>
  <c r="F8" i="182"/>
  <c r="E8" i="182"/>
  <c r="D8" i="182"/>
  <c r="F9" i="181"/>
  <c r="E9" i="181"/>
  <c r="D9" i="181"/>
  <c r="D8" i="181"/>
  <c r="D7" i="181"/>
  <c r="D6" i="181"/>
  <c r="F9" i="180"/>
  <c r="E9" i="180"/>
  <c r="D9" i="180"/>
  <c r="D8" i="180"/>
  <c r="D7" i="180"/>
  <c r="D6" i="180"/>
  <c r="F13" i="179"/>
  <c r="E13" i="179"/>
  <c r="D13" i="179"/>
  <c r="D12" i="179"/>
  <c r="D11" i="179"/>
  <c r="D10" i="179"/>
  <c r="D9" i="179"/>
  <c r="D8" i="179"/>
  <c r="D7" i="179"/>
  <c r="D6" i="179"/>
  <c r="F10" i="178"/>
  <c r="E10" i="178"/>
  <c r="D10" i="178"/>
  <c r="D9" i="178"/>
  <c r="I10" i="162"/>
  <c r="H10" i="162"/>
  <c r="G10" i="162"/>
  <c r="M21" i="161"/>
  <c r="L21" i="161"/>
  <c r="K21" i="161"/>
  <c r="J21" i="161"/>
  <c r="I21" i="161"/>
  <c r="H21" i="161"/>
  <c r="G21" i="161"/>
  <c r="F21" i="161"/>
  <c r="M20" i="161"/>
  <c r="L20" i="161"/>
  <c r="K20" i="161"/>
  <c r="J20" i="161"/>
  <c r="I20" i="161"/>
  <c r="M19" i="161"/>
  <c r="L19" i="161"/>
  <c r="K19" i="161"/>
  <c r="J19" i="161"/>
  <c r="I19" i="161"/>
  <c r="M18" i="161"/>
  <c r="L18" i="161"/>
  <c r="K18" i="161"/>
  <c r="J18" i="161"/>
  <c r="I18" i="161"/>
  <c r="M17" i="161"/>
  <c r="L17" i="161"/>
  <c r="K17" i="161"/>
  <c r="J17" i="161"/>
  <c r="I17" i="161"/>
  <c r="M16" i="161"/>
  <c r="L16" i="161"/>
  <c r="K16" i="161"/>
  <c r="J16" i="161"/>
  <c r="I16" i="161"/>
  <c r="M15" i="161"/>
  <c r="L15" i="161"/>
  <c r="K15" i="161"/>
  <c r="J15" i="161"/>
  <c r="I15" i="161"/>
  <c r="M14" i="161"/>
  <c r="L14" i="161"/>
  <c r="K14" i="161"/>
  <c r="J14" i="161"/>
  <c r="I14" i="161"/>
  <c r="M13" i="161"/>
  <c r="L13" i="161"/>
  <c r="K13" i="161"/>
  <c r="J13" i="161"/>
  <c r="I13" i="161"/>
  <c r="M12" i="161"/>
  <c r="L12" i="161"/>
  <c r="K12" i="161"/>
  <c r="J12" i="161"/>
  <c r="I12" i="161"/>
  <c r="H12" i="161"/>
  <c r="G12" i="161"/>
  <c r="F12" i="161"/>
  <c r="M11" i="161"/>
  <c r="L11" i="161"/>
  <c r="K11" i="161"/>
  <c r="J11" i="161"/>
  <c r="I11" i="161"/>
  <c r="M10" i="161"/>
  <c r="L10" i="161"/>
  <c r="K10" i="161"/>
  <c r="J10" i="161"/>
  <c r="I10" i="161"/>
  <c r="K16" i="163"/>
  <c r="J16" i="163"/>
  <c r="I16" i="163"/>
  <c r="H16" i="163"/>
  <c r="G16" i="163"/>
  <c r="D16" i="163"/>
  <c r="C16" i="163"/>
  <c r="I15" i="163"/>
  <c r="H15" i="163"/>
  <c r="G15" i="163"/>
  <c r="C15" i="163"/>
  <c r="I14" i="163"/>
  <c r="H14" i="163"/>
  <c r="G14" i="163"/>
  <c r="C14" i="163"/>
  <c r="I13" i="163"/>
  <c r="H13" i="163"/>
  <c r="G13" i="163"/>
  <c r="C13" i="163"/>
  <c r="I12" i="163"/>
  <c r="H12" i="163"/>
  <c r="G12" i="163"/>
  <c r="C12" i="163"/>
  <c r="I11" i="163"/>
  <c r="H11" i="163"/>
  <c r="G11" i="163"/>
  <c r="C11" i="163"/>
  <c r="I10" i="163"/>
  <c r="H10" i="163"/>
  <c r="G10" i="163"/>
  <c r="C10" i="163"/>
  <c r="I9" i="163"/>
  <c r="H9" i="163"/>
  <c r="G9" i="163"/>
  <c r="C9" i="163"/>
  <c r="I8" i="163"/>
  <c r="H8" i="163"/>
  <c r="G8" i="163"/>
  <c r="C8" i="163"/>
  <c r="I7" i="163"/>
  <c r="H7" i="163"/>
  <c r="G7" i="163"/>
  <c r="C7" i="163"/>
  <c r="X62" i="103"/>
  <c r="W62" i="103"/>
  <c r="V62" i="103"/>
  <c r="U62" i="103"/>
  <c r="T62" i="103"/>
  <c r="P62" i="103"/>
  <c r="O62" i="103"/>
  <c r="N62" i="103"/>
  <c r="L62" i="103"/>
  <c r="K62" i="103"/>
  <c r="J62" i="103"/>
  <c r="I62" i="103"/>
  <c r="H62" i="103"/>
  <c r="G62" i="103"/>
  <c r="E62" i="103"/>
  <c r="X60" i="103"/>
  <c r="W60" i="103"/>
  <c r="T60" i="103"/>
  <c r="Q60" i="103"/>
  <c r="P60" i="103"/>
  <c r="O60" i="103"/>
  <c r="N60" i="103"/>
  <c r="L60" i="103"/>
  <c r="I60" i="103"/>
  <c r="X59" i="103"/>
  <c r="W59" i="103"/>
  <c r="T59" i="103"/>
  <c r="Q59" i="103"/>
  <c r="P59" i="103"/>
  <c r="L59" i="103"/>
  <c r="I59" i="103"/>
  <c r="X58" i="103"/>
  <c r="W58" i="103"/>
  <c r="T58" i="103"/>
  <c r="Q58" i="103"/>
  <c r="P58" i="103"/>
  <c r="L58" i="103"/>
  <c r="I58" i="103"/>
  <c r="E58" i="103"/>
  <c r="X57" i="103"/>
  <c r="W57" i="103"/>
  <c r="T57" i="103"/>
  <c r="Q57" i="103"/>
  <c r="P57" i="103"/>
  <c r="L57" i="103"/>
  <c r="I57" i="103"/>
  <c r="E57" i="103"/>
  <c r="X56" i="103"/>
  <c r="W56" i="103"/>
  <c r="T56" i="103"/>
  <c r="Q56" i="103"/>
  <c r="P56" i="103"/>
  <c r="O56" i="103"/>
  <c r="L56" i="103"/>
  <c r="I56" i="103"/>
  <c r="X55" i="103"/>
  <c r="W55" i="103"/>
  <c r="T55" i="103"/>
  <c r="Q55" i="103"/>
  <c r="P55" i="103"/>
  <c r="N55" i="103"/>
  <c r="L55" i="103"/>
  <c r="I55" i="103"/>
  <c r="E55" i="103"/>
  <c r="X54" i="103"/>
  <c r="W54" i="103"/>
  <c r="V54" i="103"/>
  <c r="U54" i="103"/>
  <c r="T54" i="103"/>
  <c r="P54" i="103"/>
  <c r="N54" i="103"/>
  <c r="L54" i="103"/>
  <c r="K54" i="103"/>
  <c r="J54" i="103"/>
  <c r="E54" i="103"/>
  <c r="D54" i="103"/>
  <c r="C54" i="103"/>
  <c r="B54" i="103"/>
  <c r="X53" i="103"/>
  <c r="W53" i="103"/>
  <c r="T53" i="103"/>
  <c r="X52" i="103"/>
  <c r="W52" i="103"/>
  <c r="T52" i="103"/>
  <c r="Q52" i="103"/>
  <c r="P52" i="103"/>
  <c r="O52" i="103"/>
  <c r="N52" i="103"/>
  <c r="L52" i="103"/>
  <c r="D52" i="103"/>
  <c r="X51" i="103"/>
  <c r="W51" i="103"/>
  <c r="T51" i="103"/>
  <c r="Q51" i="103"/>
  <c r="P51" i="103"/>
  <c r="L51" i="103"/>
  <c r="D51" i="103"/>
  <c r="X50" i="103"/>
  <c r="W50" i="103"/>
  <c r="T50" i="103"/>
  <c r="Q50" i="103"/>
  <c r="P50" i="103"/>
  <c r="O50" i="103"/>
  <c r="N50" i="103"/>
  <c r="L50" i="103"/>
  <c r="D50" i="103"/>
  <c r="X49" i="103"/>
  <c r="W49" i="103"/>
  <c r="T49" i="103"/>
  <c r="Q49" i="103"/>
  <c r="P49" i="103"/>
  <c r="L49" i="103"/>
  <c r="E49" i="103"/>
  <c r="D49" i="103"/>
  <c r="X48" i="103"/>
  <c r="W48" i="103"/>
  <c r="T48" i="103"/>
  <c r="Q48" i="103"/>
  <c r="P48" i="103"/>
  <c r="O48" i="103"/>
  <c r="L48" i="103"/>
  <c r="E48" i="103"/>
  <c r="D48" i="103"/>
  <c r="X47" i="103"/>
  <c r="W47" i="103"/>
  <c r="T47" i="103"/>
  <c r="Q47" i="103"/>
  <c r="P47" i="103"/>
  <c r="L47" i="103"/>
  <c r="E47" i="103"/>
  <c r="D47" i="103"/>
  <c r="X46" i="103"/>
  <c r="W46" i="103"/>
  <c r="V46" i="103"/>
  <c r="U46" i="103"/>
  <c r="T46" i="103"/>
  <c r="P46" i="103"/>
  <c r="L46" i="103"/>
  <c r="K46" i="103"/>
  <c r="J46" i="103"/>
  <c r="I46" i="103"/>
  <c r="F46" i="103"/>
  <c r="E46" i="103"/>
  <c r="D46" i="103"/>
  <c r="T45" i="103"/>
  <c r="X44" i="103"/>
  <c r="W44" i="103"/>
  <c r="T44" i="103"/>
  <c r="Q44" i="103"/>
  <c r="P44" i="103"/>
  <c r="O44" i="103"/>
  <c r="N44" i="103"/>
  <c r="L44" i="103"/>
  <c r="I44" i="103"/>
  <c r="E44" i="103"/>
  <c r="D44" i="103"/>
  <c r="X43" i="103"/>
  <c r="W43" i="103"/>
  <c r="T43" i="103"/>
  <c r="Q43" i="103"/>
  <c r="P43" i="103"/>
  <c r="L43" i="103"/>
  <c r="K43" i="103"/>
  <c r="I43" i="103"/>
  <c r="E43" i="103"/>
  <c r="D43" i="103"/>
  <c r="X42" i="103"/>
  <c r="W42" i="103"/>
  <c r="V42" i="103"/>
  <c r="U42" i="103"/>
  <c r="T42" i="103"/>
  <c r="P42" i="103"/>
  <c r="L42" i="103"/>
  <c r="K42" i="103"/>
  <c r="J42" i="103"/>
  <c r="I42" i="103"/>
  <c r="H42" i="103"/>
  <c r="G42" i="103"/>
  <c r="F42" i="103"/>
  <c r="E42" i="103"/>
  <c r="D42" i="103"/>
  <c r="C42" i="103"/>
  <c r="B42" i="103"/>
  <c r="T41" i="103"/>
  <c r="X40" i="103"/>
  <c r="W40" i="103"/>
  <c r="T40" i="103"/>
  <c r="Q40" i="103"/>
  <c r="P40" i="103"/>
  <c r="O40" i="103"/>
  <c r="L40" i="103"/>
  <c r="K40" i="103"/>
  <c r="J40" i="103"/>
  <c r="I40" i="103"/>
  <c r="D40" i="103"/>
  <c r="X39" i="103"/>
  <c r="W39" i="103"/>
  <c r="T39" i="103"/>
  <c r="Q39" i="103"/>
  <c r="P39" i="103"/>
  <c r="O39" i="103"/>
  <c r="L39" i="103"/>
  <c r="K39" i="103"/>
  <c r="J39" i="103"/>
  <c r="I39" i="103"/>
  <c r="D39" i="103"/>
  <c r="X38" i="103"/>
  <c r="W38" i="103"/>
  <c r="T38" i="103"/>
  <c r="Q38" i="103"/>
  <c r="P38" i="103"/>
  <c r="O38" i="103"/>
  <c r="L38" i="103"/>
  <c r="J38" i="103"/>
  <c r="I38" i="103"/>
  <c r="D38" i="103"/>
  <c r="X37" i="103"/>
  <c r="W37" i="103"/>
  <c r="T37" i="103"/>
  <c r="Q37" i="103"/>
  <c r="P37" i="103"/>
  <c r="N37" i="103"/>
  <c r="L37" i="103"/>
  <c r="K37" i="103"/>
  <c r="I37" i="103"/>
  <c r="D37" i="103"/>
  <c r="X36" i="103"/>
  <c r="W36" i="103"/>
  <c r="T36" i="103"/>
  <c r="Q36" i="103"/>
  <c r="P36" i="103"/>
  <c r="O36" i="103"/>
  <c r="N36" i="103"/>
  <c r="L36" i="103"/>
  <c r="I36" i="103"/>
  <c r="D36" i="103"/>
  <c r="X35" i="103"/>
  <c r="W35" i="103"/>
  <c r="V35" i="103"/>
  <c r="U35" i="103"/>
  <c r="T35" i="103"/>
  <c r="P35" i="103"/>
  <c r="L35" i="103"/>
  <c r="K35" i="103"/>
  <c r="J35" i="103"/>
  <c r="I35" i="103"/>
  <c r="H35" i="103"/>
  <c r="G35" i="103"/>
  <c r="E35" i="103"/>
  <c r="D35" i="103"/>
  <c r="C35" i="103"/>
  <c r="B35" i="103"/>
  <c r="T34" i="103"/>
  <c r="X33" i="103"/>
  <c r="W33" i="103"/>
  <c r="T33" i="103"/>
  <c r="Q33" i="103"/>
  <c r="P33" i="103"/>
  <c r="O33" i="103"/>
  <c r="N33" i="103"/>
  <c r="L33" i="103"/>
  <c r="K33" i="103"/>
  <c r="I33" i="103"/>
  <c r="D33" i="103"/>
  <c r="X32" i="103"/>
  <c r="W32" i="103"/>
  <c r="T32" i="103"/>
  <c r="Q32" i="103"/>
  <c r="P32" i="103"/>
  <c r="L32" i="103"/>
  <c r="K32" i="103"/>
  <c r="I32" i="103"/>
  <c r="E32" i="103"/>
  <c r="D32" i="103"/>
  <c r="X31" i="103"/>
  <c r="W31" i="103"/>
  <c r="V31" i="103"/>
  <c r="U31" i="103"/>
  <c r="T31" i="103"/>
  <c r="P31" i="103"/>
  <c r="O31" i="103"/>
  <c r="N31" i="103"/>
  <c r="L31" i="103"/>
  <c r="K31" i="103"/>
  <c r="J31" i="103"/>
  <c r="I31" i="103"/>
  <c r="H31" i="103"/>
  <c r="G31" i="103"/>
  <c r="E31" i="103"/>
  <c r="D31" i="103"/>
  <c r="C31" i="103"/>
  <c r="B31" i="103"/>
  <c r="T30" i="103"/>
  <c r="X29" i="103"/>
  <c r="W29" i="103"/>
  <c r="T29" i="103"/>
  <c r="Q29" i="103"/>
  <c r="P29" i="103"/>
  <c r="O29" i="103"/>
  <c r="N29" i="103"/>
  <c r="L29" i="103"/>
  <c r="I29" i="103"/>
  <c r="D29" i="103"/>
  <c r="X28" i="103"/>
  <c r="W28" i="103"/>
  <c r="T28" i="103"/>
  <c r="Q28" i="103"/>
  <c r="P28" i="103"/>
  <c r="O28" i="103"/>
  <c r="N28" i="103"/>
  <c r="L28" i="103"/>
  <c r="I28" i="103"/>
  <c r="D28" i="103"/>
  <c r="X27" i="103"/>
  <c r="W27" i="103"/>
  <c r="T27" i="103"/>
  <c r="Q27" i="103"/>
  <c r="P27" i="103"/>
  <c r="O27" i="103"/>
  <c r="N27" i="103"/>
  <c r="L27" i="103"/>
  <c r="I27" i="103"/>
  <c r="D27" i="103"/>
  <c r="X26" i="103"/>
  <c r="W26" i="103"/>
  <c r="T26" i="103"/>
  <c r="Q26" i="103"/>
  <c r="P26" i="103"/>
  <c r="O26" i="103"/>
  <c r="N26" i="103"/>
  <c r="L26" i="103"/>
  <c r="I26" i="103"/>
  <c r="D26" i="103"/>
  <c r="X25" i="103"/>
  <c r="W25" i="103"/>
  <c r="T25" i="103"/>
  <c r="Q25" i="103"/>
  <c r="P25" i="103"/>
  <c r="L25" i="103"/>
  <c r="I25" i="103"/>
  <c r="D25" i="103"/>
  <c r="X24" i="103"/>
  <c r="W24" i="103"/>
  <c r="V24" i="103"/>
  <c r="U24" i="103"/>
  <c r="T24" i="103"/>
  <c r="P24" i="103"/>
  <c r="L24" i="103"/>
  <c r="K24" i="103"/>
  <c r="J24" i="103"/>
  <c r="I24" i="103"/>
  <c r="H24" i="103"/>
  <c r="G24" i="103"/>
  <c r="F24" i="103"/>
  <c r="E24" i="103"/>
  <c r="D24" i="103"/>
  <c r="C24" i="103"/>
  <c r="B24" i="103"/>
  <c r="T23" i="103"/>
  <c r="X22" i="103"/>
  <c r="W22" i="103"/>
  <c r="T22" i="103"/>
  <c r="Q22" i="103"/>
  <c r="P22" i="103"/>
  <c r="L22" i="103"/>
  <c r="K22" i="103"/>
  <c r="J22" i="103"/>
  <c r="I22" i="103"/>
  <c r="E22" i="103"/>
  <c r="D22" i="103"/>
  <c r="X21" i="103"/>
  <c r="W21" i="103"/>
  <c r="T21" i="103"/>
  <c r="Q21" i="103"/>
  <c r="P21" i="103"/>
  <c r="L21" i="103"/>
  <c r="K21" i="103"/>
  <c r="J21" i="103"/>
  <c r="I21" i="103"/>
  <c r="E21" i="103"/>
  <c r="D21" i="103"/>
  <c r="X20" i="103"/>
  <c r="W20" i="103"/>
  <c r="T20" i="103"/>
  <c r="Q20" i="103"/>
  <c r="P20" i="103"/>
  <c r="L20" i="103"/>
  <c r="K20" i="103"/>
  <c r="J20" i="103"/>
  <c r="I20" i="103"/>
  <c r="D20" i="103"/>
  <c r="X19" i="103"/>
  <c r="W19" i="103"/>
  <c r="V19" i="103"/>
  <c r="U19" i="103"/>
  <c r="T19" i="103"/>
  <c r="P19" i="103"/>
  <c r="L19" i="103"/>
  <c r="K19" i="103"/>
  <c r="J19" i="103"/>
  <c r="I19" i="103"/>
  <c r="H19" i="103"/>
  <c r="G19" i="103"/>
  <c r="E19" i="103"/>
  <c r="D19" i="103"/>
  <c r="C19" i="103"/>
  <c r="B19" i="103"/>
  <c r="T18" i="103"/>
  <c r="X17" i="103"/>
  <c r="W17" i="103"/>
  <c r="T17" i="103"/>
  <c r="Q17" i="103"/>
  <c r="P17" i="103"/>
  <c r="O17" i="103"/>
  <c r="N17" i="103"/>
  <c r="L17" i="103"/>
  <c r="I17" i="103"/>
  <c r="H17" i="103"/>
  <c r="G17" i="103"/>
  <c r="D17" i="103"/>
  <c r="X16" i="103"/>
  <c r="W16" i="103"/>
  <c r="T16" i="103"/>
  <c r="Q16" i="103"/>
  <c r="P16" i="103"/>
  <c r="O16" i="103"/>
  <c r="N16" i="103"/>
  <c r="L16" i="103"/>
  <c r="I16" i="103"/>
  <c r="H16" i="103"/>
  <c r="G16" i="103"/>
  <c r="D16" i="103"/>
  <c r="X15" i="103"/>
  <c r="W15" i="103"/>
  <c r="T15" i="103"/>
  <c r="Q15" i="103"/>
  <c r="P15" i="103"/>
  <c r="O15" i="103"/>
  <c r="L15" i="103"/>
  <c r="I15" i="103"/>
  <c r="H15" i="103"/>
  <c r="G15" i="103"/>
  <c r="D15" i="103"/>
  <c r="X14" i="103"/>
  <c r="W14" i="103"/>
  <c r="T14" i="103"/>
  <c r="Q14" i="103"/>
  <c r="P14" i="103"/>
  <c r="N14" i="103"/>
  <c r="L14" i="103"/>
  <c r="K14" i="103"/>
  <c r="I14" i="103"/>
  <c r="H14" i="103"/>
  <c r="G14" i="103"/>
  <c r="D14" i="103"/>
  <c r="X13" i="103"/>
  <c r="W13" i="103"/>
  <c r="T13" i="103"/>
  <c r="Q13" i="103"/>
  <c r="P13" i="103"/>
  <c r="O13" i="103"/>
  <c r="N13" i="103"/>
  <c r="L13" i="103"/>
  <c r="K13" i="103"/>
  <c r="I13" i="103"/>
  <c r="H13" i="103"/>
  <c r="G13" i="103"/>
  <c r="D13" i="103"/>
  <c r="X12" i="103"/>
  <c r="W12" i="103"/>
  <c r="T12" i="103"/>
  <c r="Q12" i="103"/>
  <c r="P12" i="103"/>
  <c r="O12" i="103"/>
  <c r="N12" i="103"/>
  <c r="L12" i="103"/>
  <c r="K12" i="103"/>
  <c r="I12" i="103"/>
  <c r="H12" i="103"/>
  <c r="G12" i="103"/>
  <c r="D12" i="103"/>
  <c r="X11" i="103"/>
  <c r="W11" i="103"/>
  <c r="T11" i="103"/>
  <c r="Q11" i="103"/>
  <c r="P11" i="103"/>
  <c r="N11" i="103"/>
  <c r="L11" i="103"/>
  <c r="K11" i="103"/>
  <c r="I11" i="103"/>
  <c r="H11" i="103"/>
  <c r="G11" i="103"/>
  <c r="D11" i="103"/>
  <c r="X10" i="103"/>
  <c r="W10" i="103"/>
  <c r="T10" i="103"/>
  <c r="Q10" i="103"/>
  <c r="P10" i="103"/>
  <c r="L10" i="103"/>
  <c r="K10" i="103"/>
  <c r="I10" i="103"/>
  <c r="H10" i="103"/>
  <c r="G10" i="103"/>
  <c r="D10" i="103"/>
  <c r="X9" i="103"/>
  <c r="W9" i="103"/>
  <c r="T9" i="103"/>
  <c r="Q9" i="103"/>
  <c r="P9" i="103"/>
  <c r="L9" i="103"/>
  <c r="K9" i="103"/>
  <c r="I9" i="103"/>
  <c r="H9" i="103"/>
  <c r="G9" i="103"/>
  <c r="D9" i="103"/>
  <c r="X8" i="103"/>
  <c r="W8" i="103"/>
  <c r="V8" i="103"/>
  <c r="U8" i="103"/>
  <c r="P8" i="103"/>
  <c r="L8" i="103"/>
  <c r="K8" i="103"/>
  <c r="J8" i="103"/>
  <c r="I8" i="103"/>
  <c r="H8" i="103"/>
  <c r="G8" i="103"/>
  <c r="E8" i="103"/>
  <c r="D8" i="103"/>
  <c r="C8" i="103"/>
  <c r="B8" i="103"/>
  <c r="X7" i="103"/>
  <c r="W7" i="103"/>
  <c r="V7" i="103"/>
  <c r="U7" i="103"/>
  <c r="T7" i="103"/>
  <c r="L7" i="103"/>
  <c r="K7" i="103"/>
  <c r="J7" i="103"/>
  <c r="I7" i="103"/>
  <c r="H7" i="103"/>
  <c r="G7" i="103"/>
  <c r="F7" i="103"/>
  <c r="E7" i="103"/>
  <c r="D7" i="103"/>
  <c r="C7" i="103"/>
  <c r="B7" i="103"/>
  <c r="D74" i="137"/>
  <c r="C74" i="137"/>
  <c r="B74" i="137"/>
  <c r="D73" i="137"/>
  <c r="D71" i="137"/>
  <c r="C71" i="137"/>
  <c r="B71" i="137"/>
  <c r="D70" i="137"/>
  <c r="C70" i="137"/>
  <c r="D68" i="137"/>
  <c r="C68" i="137"/>
  <c r="B68" i="137"/>
  <c r="D67" i="137"/>
  <c r="C67" i="137"/>
  <c r="D65" i="137"/>
  <c r="C65" i="137"/>
  <c r="B65" i="137"/>
  <c r="C64" i="137"/>
  <c r="D62" i="137"/>
  <c r="C62" i="137"/>
  <c r="B62" i="137"/>
  <c r="D61" i="137"/>
  <c r="C61" i="137"/>
  <c r="D59" i="137"/>
  <c r="C59" i="137"/>
  <c r="B59" i="137"/>
  <c r="D58" i="137"/>
  <c r="C58" i="137"/>
  <c r="D57" i="137"/>
  <c r="C57" i="137"/>
  <c r="D56" i="137"/>
  <c r="C56" i="137"/>
  <c r="D55" i="137"/>
  <c r="C55" i="137"/>
  <c r="D53" i="137"/>
  <c r="C53" i="137"/>
  <c r="B53" i="137"/>
  <c r="D52" i="137"/>
  <c r="D50" i="137"/>
  <c r="C50" i="137"/>
  <c r="B50" i="137"/>
  <c r="D49" i="137"/>
  <c r="C49" i="137"/>
  <c r="D48" i="137"/>
  <c r="C48" i="137"/>
  <c r="D47" i="137"/>
  <c r="C47" i="137"/>
  <c r="D46" i="137"/>
  <c r="C46" i="137"/>
  <c r="D45" i="137"/>
  <c r="C45" i="137"/>
  <c r="D44" i="137"/>
  <c r="C44" i="137"/>
  <c r="D43" i="137"/>
  <c r="C43" i="137"/>
  <c r="D42" i="137"/>
  <c r="C42" i="137"/>
  <c r="D40" i="137"/>
  <c r="C40" i="137"/>
  <c r="B40" i="137"/>
  <c r="X34" i="137"/>
  <c r="W34" i="137"/>
  <c r="U34" i="137"/>
  <c r="O34" i="137"/>
  <c r="N34" i="137"/>
  <c r="M34" i="137"/>
  <c r="L34" i="137"/>
  <c r="J34" i="137"/>
  <c r="H34" i="137"/>
  <c r="F34" i="137"/>
  <c r="D34" i="137"/>
  <c r="B34" i="137"/>
  <c r="W33" i="137"/>
  <c r="U33" i="137"/>
  <c r="N33" i="137"/>
  <c r="W32" i="137"/>
  <c r="U32" i="137"/>
  <c r="N32" i="137"/>
  <c r="W31" i="137"/>
  <c r="U31" i="137"/>
  <c r="N31" i="137"/>
  <c r="W30" i="137"/>
  <c r="U30" i="137"/>
  <c r="N30" i="137"/>
  <c r="W29" i="137"/>
  <c r="U29" i="137"/>
  <c r="N29" i="137"/>
  <c r="W28" i="137"/>
  <c r="U28" i="137"/>
  <c r="N28" i="137"/>
  <c r="W27" i="137"/>
  <c r="U27" i="137"/>
  <c r="N27" i="137"/>
  <c r="W26" i="137"/>
  <c r="U26" i="137"/>
  <c r="N26" i="137"/>
  <c r="W25" i="137"/>
  <c r="U25" i="137"/>
  <c r="N25" i="137"/>
  <c r="D17" i="137"/>
  <c r="D16" i="137"/>
  <c r="D15" i="137"/>
  <c r="G14" i="137"/>
  <c r="D14" i="137"/>
  <c r="D13" i="137"/>
  <c r="S12" i="137"/>
  <c r="D12" i="137"/>
  <c r="D11" i="137"/>
  <c r="D10" i="137"/>
  <c r="P9" i="137"/>
  <c r="M9" i="137"/>
  <c r="J9" i="137"/>
  <c r="G9" i="137"/>
  <c r="D9" i="137"/>
  <c r="T21" i="136"/>
  <c r="S21" i="136"/>
  <c r="R21" i="136"/>
  <c r="Q21" i="136"/>
  <c r="P21" i="136"/>
  <c r="K21" i="136"/>
  <c r="D21" i="136"/>
  <c r="C21" i="136"/>
  <c r="B21" i="136"/>
  <c r="R20" i="136"/>
  <c r="T19" i="136"/>
  <c r="S19" i="136"/>
  <c r="R19" i="136"/>
  <c r="Q19" i="136"/>
  <c r="P19" i="136"/>
  <c r="O19" i="136"/>
  <c r="N19" i="136"/>
  <c r="M19" i="136"/>
  <c r="L19" i="136"/>
  <c r="K19" i="136"/>
  <c r="T18" i="136"/>
  <c r="R18" i="136"/>
  <c r="Q18" i="136"/>
  <c r="O18" i="136"/>
  <c r="N18" i="136"/>
  <c r="G18" i="136"/>
  <c r="D18" i="136"/>
  <c r="R17" i="136"/>
  <c r="Q17" i="136"/>
  <c r="O17" i="136"/>
  <c r="N17" i="136"/>
  <c r="G17" i="136"/>
  <c r="D17" i="136"/>
  <c r="R16" i="136"/>
  <c r="Q16" i="136"/>
  <c r="O16" i="136"/>
  <c r="N16" i="136"/>
  <c r="G16" i="136"/>
  <c r="D16" i="136"/>
  <c r="R15" i="136"/>
  <c r="Q15" i="136"/>
  <c r="O15" i="136"/>
  <c r="N15" i="136"/>
  <c r="G15" i="136"/>
  <c r="D15" i="136"/>
  <c r="T14" i="136"/>
  <c r="R14" i="136"/>
  <c r="Q14" i="136"/>
  <c r="O14" i="136"/>
  <c r="N14" i="136"/>
  <c r="G14" i="136"/>
  <c r="D14" i="136"/>
  <c r="R13" i="136"/>
  <c r="Q13" i="136"/>
  <c r="O13" i="136"/>
  <c r="N13" i="136"/>
  <c r="G13" i="136"/>
  <c r="D13" i="136"/>
  <c r="T12" i="136"/>
  <c r="R12" i="136"/>
  <c r="Q12" i="136"/>
  <c r="O12" i="136"/>
  <c r="N12" i="136"/>
  <c r="G12" i="136"/>
  <c r="D12" i="136"/>
  <c r="R11" i="136"/>
  <c r="Q11" i="136"/>
  <c r="O11" i="136"/>
  <c r="N11" i="136"/>
  <c r="G11" i="136"/>
  <c r="D11" i="136"/>
  <c r="R10" i="136"/>
  <c r="Q10" i="136"/>
  <c r="O10" i="136"/>
  <c r="N10" i="136"/>
  <c r="J10" i="136"/>
  <c r="G10" i="136"/>
  <c r="D10" i="136"/>
  <c r="H18" i="122"/>
  <c r="B18" i="122"/>
  <c r="I15" i="120"/>
  <c r="H15" i="120"/>
  <c r="G15" i="120"/>
  <c r="F15" i="120"/>
  <c r="E15" i="120"/>
  <c r="D15" i="120"/>
  <c r="C15" i="120"/>
  <c r="B15" i="120"/>
  <c r="F11" i="120"/>
  <c r="D11" i="120"/>
  <c r="S35" i="98"/>
  <c r="R35" i="98"/>
  <c r="Q35" i="98"/>
  <c r="K35" i="98"/>
  <c r="J35" i="98"/>
  <c r="I35" i="98"/>
  <c r="B35" i="98"/>
  <c r="Q34" i="98"/>
  <c r="K34" i="98"/>
  <c r="J34" i="98"/>
  <c r="I34" i="98"/>
  <c r="H34" i="98"/>
  <c r="F34" i="98"/>
  <c r="D34" i="98"/>
  <c r="Q33" i="98"/>
  <c r="K33" i="98"/>
  <c r="J33" i="98"/>
  <c r="I33" i="98"/>
  <c r="H33" i="98"/>
  <c r="F33" i="98"/>
  <c r="D33" i="98"/>
  <c r="Q32" i="98"/>
  <c r="K32" i="98"/>
  <c r="J32" i="98"/>
  <c r="I32" i="98"/>
  <c r="H32" i="98"/>
  <c r="F32" i="98"/>
  <c r="D32" i="98"/>
  <c r="Q31" i="98"/>
  <c r="K31" i="98"/>
  <c r="J31" i="98"/>
  <c r="I31" i="98"/>
  <c r="H31" i="98"/>
  <c r="F31" i="98"/>
  <c r="D31" i="98"/>
  <c r="Q30" i="98"/>
  <c r="K30" i="98"/>
  <c r="J30" i="98"/>
  <c r="I30" i="98"/>
  <c r="H30" i="98"/>
  <c r="F30" i="98"/>
  <c r="D30" i="98"/>
  <c r="Q29" i="98"/>
  <c r="K29" i="98"/>
  <c r="J29" i="98"/>
  <c r="I29" i="98"/>
  <c r="H29" i="98"/>
  <c r="F29" i="98"/>
  <c r="D29" i="98"/>
  <c r="Q28" i="98"/>
  <c r="K28" i="98"/>
  <c r="J28" i="98"/>
  <c r="I28" i="98"/>
  <c r="H28" i="98"/>
  <c r="F28" i="98"/>
  <c r="D28" i="98"/>
  <c r="Q27" i="98"/>
  <c r="K27" i="98"/>
  <c r="J27" i="98"/>
  <c r="I27" i="98"/>
  <c r="H27" i="98"/>
  <c r="F27" i="98"/>
  <c r="D27" i="98"/>
  <c r="Q26" i="98"/>
  <c r="K26" i="98"/>
  <c r="J26" i="98"/>
  <c r="I26" i="98"/>
  <c r="H26" i="98"/>
  <c r="F26" i="98"/>
  <c r="D26" i="98"/>
  <c r="T19" i="98"/>
  <c r="Q19" i="98"/>
  <c r="K19" i="98"/>
  <c r="J19" i="98"/>
  <c r="I19" i="98"/>
  <c r="H19" i="98"/>
  <c r="Q18" i="98"/>
  <c r="P18" i="98"/>
  <c r="O18" i="98"/>
  <c r="Q17" i="98"/>
  <c r="P17" i="98"/>
  <c r="O17" i="98"/>
  <c r="Q16" i="98"/>
  <c r="P16" i="98"/>
  <c r="O16" i="98"/>
  <c r="Q15" i="98"/>
  <c r="P15" i="98"/>
  <c r="O15" i="98"/>
  <c r="Q14" i="98"/>
  <c r="P14" i="98"/>
  <c r="O14" i="98"/>
  <c r="Q12" i="98"/>
  <c r="P12" i="98"/>
  <c r="O12" i="98"/>
  <c r="Q11" i="98"/>
  <c r="P11" i="98"/>
  <c r="O11" i="98"/>
  <c r="Q10" i="98"/>
  <c r="P10" i="98"/>
  <c r="O10" i="98"/>
  <c r="G11" i="138"/>
  <c r="B11" i="138"/>
  <c r="I11" i="138"/>
  <c r="H11" i="138"/>
  <c r="T43" i="193"/>
  <c r="S43" i="193"/>
  <c r="R43" i="193"/>
  <c r="Q43" i="193"/>
  <c r="P43" i="193"/>
  <c r="O43" i="193"/>
  <c r="N43" i="193"/>
  <c r="M43" i="193"/>
  <c r="L43" i="193"/>
  <c r="K43" i="193"/>
  <c r="J43" i="193"/>
  <c r="I43" i="193"/>
  <c r="H43" i="193"/>
  <c r="G43" i="193"/>
  <c r="F43" i="193"/>
  <c r="D43" i="193"/>
  <c r="C43" i="193"/>
  <c r="B43" i="193"/>
  <c r="T42" i="193"/>
  <c r="S42" i="193"/>
  <c r="R42" i="193"/>
  <c r="P42" i="193"/>
  <c r="O42" i="193"/>
  <c r="N42" i="193"/>
  <c r="K42" i="193"/>
  <c r="I42" i="193"/>
  <c r="H42" i="193"/>
  <c r="G42" i="193"/>
  <c r="F42" i="193"/>
  <c r="D42" i="193"/>
  <c r="C42" i="193"/>
  <c r="T41" i="193"/>
  <c r="S41" i="193"/>
  <c r="R41" i="193"/>
  <c r="P41" i="193"/>
  <c r="O41" i="193"/>
  <c r="N41" i="193"/>
  <c r="K41" i="193"/>
  <c r="I41" i="193"/>
  <c r="H41" i="193"/>
  <c r="G41" i="193"/>
  <c r="F41" i="193"/>
  <c r="D41" i="193"/>
  <c r="C41" i="193"/>
  <c r="T40" i="193"/>
  <c r="S40" i="193"/>
  <c r="R40" i="193"/>
  <c r="P40" i="193"/>
  <c r="O40" i="193"/>
  <c r="N40" i="193"/>
  <c r="K40" i="193"/>
  <c r="I40" i="193"/>
  <c r="H40" i="193"/>
  <c r="G40" i="193"/>
  <c r="F40" i="193"/>
  <c r="D40" i="193"/>
  <c r="C40" i="193"/>
  <c r="T39" i="193"/>
  <c r="S39" i="193"/>
  <c r="R39" i="193"/>
  <c r="P39" i="193"/>
  <c r="O39" i="193"/>
  <c r="N39" i="193"/>
  <c r="K39" i="193"/>
  <c r="I39" i="193"/>
  <c r="H39" i="193"/>
  <c r="G39" i="193"/>
  <c r="F39" i="193"/>
  <c r="D39" i="193"/>
  <c r="C39" i="193"/>
  <c r="J26" i="193"/>
  <c r="I26" i="193"/>
  <c r="H26" i="193"/>
  <c r="G26" i="193"/>
  <c r="I25" i="193"/>
  <c r="H25" i="193"/>
  <c r="J24" i="193"/>
  <c r="I24" i="193"/>
  <c r="H24" i="193"/>
  <c r="C17" i="190"/>
  <c r="C16" i="190"/>
  <c r="C15" i="190"/>
  <c r="C14" i="190"/>
  <c r="M13" i="190"/>
  <c r="C13" i="190"/>
  <c r="C12" i="190"/>
  <c r="M11" i="190"/>
  <c r="C11" i="190"/>
  <c r="M10" i="190"/>
  <c r="C10" i="190"/>
  <c r="C9" i="190"/>
  <c r="L5" i="190"/>
  <c r="K5" i="190"/>
  <c r="J5" i="190"/>
  <c r="I5" i="190"/>
  <c r="H5" i="190"/>
  <c r="G5" i="190"/>
  <c r="F5" i="190"/>
  <c r="E5" i="190"/>
  <c r="D5" i="190"/>
  <c r="C4" i="190"/>
  <c r="K72" i="191"/>
  <c r="J72" i="191"/>
  <c r="I72" i="191"/>
  <c r="H72" i="191"/>
  <c r="G72" i="191"/>
  <c r="F72" i="191"/>
  <c r="E72" i="191"/>
  <c r="D72" i="191"/>
  <c r="C72" i="191"/>
  <c r="B72" i="191"/>
  <c r="B71" i="191"/>
  <c r="B70" i="191"/>
  <c r="B69" i="191"/>
  <c r="B68" i="191"/>
  <c r="B67" i="191"/>
  <c r="B66" i="191"/>
  <c r="B65" i="191"/>
  <c r="B64" i="191"/>
  <c r="K63" i="191"/>
  <c r="J63" i="191"/>
  <c r="I63" i="191"/>
  <c r="H63" i="191"/>
  <c r="G63" i="191"/>
  <c r="F63" i="191"/>
  <c r="E63" i="191"/>
  <c r="D63" i="191"/>
  <c r="C63" i="191"/>
  <c r="B63" i="191"/>
  <c r="J62" i="191"/>
  <c r="B62" i="191"/>
  <c r="F33" i="191"/>
  <c r="C33" i="191"/>
  <c r="B33" i="191"/>
  <c r="F32" i="191"/>
  <c r="C32" i="191"/>
  <c r="F31" i="191"/>
  <c r="C31" i="191"/>
  <c r="F30" i="191"/>
  <c r="C30" i="191"/>
  <c r="F29" i="191"/>
  <c r="C29" i="191"/>
  <c r="F28" i="191"/>
  <c r="C28" i="191"/>
  <c r="F27" i="191"/>
  <c r="C27" i="191"/>
  <c r="F25" i="191"/>
  <c r="C25" i="191"/>
  <c r="F24" i="191"/>
  <c r="C24" i="191"/>
  <c r="B22" i="191"/>
  <c r="K20" i="191"/>
  <c r="J20" i="191"/>
  <c r="I20" i="191"/>
  <c r="H20" i="191"/>
  <c r="G20" i="191"/>
  <c r="F20" i="191"/>
  <c r="E20" i="191"/>
  <c r="D20" i="191"/>
  <c r="C20" i="191"/>
  <c r="K19" i="191"/>
  <c r="J19" i="191"/>
  <c r="I19" i="191"/>
  <c r="H19" i="191"/>
  <c r="G19" i="191"/>
  <c r="F19" i="191"/>
  <c r="E19" i="191"/>
  <c r="D19" i="191"/>
  <c r="C19" i="191"/>
  <c r="K18" i="191"/>
  <c r="J18" i="191"/>
  <c r="I18" i="191"/>
  <c r="H18" i="191"/>
  <c r="G18" i="191"/>
  <c r="F18" i="191"/>
  <c r="E18" i="191"/>
  <c r="D18" i="191"/>
  <c r="C18" i="191"/>
  <c r="K17" i="191"/>
  <c r="J17" i="191"/>
  <c r="I17" i="191"/>
  <c r="H17" i="191"/>
  <c r="G17" i="191"/>
  <c r="F17" i="191"/>
  <c r="E17" i="191"/>
  <c r="D17" i="191"/>
  <c r="C17" i="191"/>
  <c r="K16" i="191"/>
  <c r="J16" i="191"/>
  <c r="I16" i="191"/>
  <c r="H16" i="191"/>
  <c r="G16" i="191"/>
  <c r="F16" i="191"/>
  <c r="E16" i="191"/>
  <c r="D16" i="191"/>
  <c r="C16" i="191"/>
  <c r="K15" i="191"/>
  <c r="J15" i="191"/>
  <c r="I15" i="191"/>
  <c r="H15" i="191"/>
  <c r="G15" i="191"/>
  <c r="F15" i="191"/>
  <c r="E15" i="191"/>
  <c r="D15" i="191"/>
  <c r="C15" i="191"/>
  <c r="K14" i="191"/>
  <c r="J14" i="191"/>
  <c r="I14" i="191"/>
  <c r="H14" i="191"/>
  <c r="G14" i="191"/>
  <c r="F14" i="191"/>
  <c r="E14" i="191"/>
  <c r="D14" i="191"/>
  <c r="C14" i="191"/>
  <c r="K12" i="191"/>
  <c r="J12" i="191"/>
  <c r="I12" i="191"/>
  <c r="H12" i="191"/>
  <c r="G12" i="191"/>
  <c r="F12" i="191"/>
  <c r="E12" i="191"/>
  <c r="D12" i="191"/>
  <c r="C12" i="191"/>
  <c r="K11" i="191"/>
  <c r="J11" i="191"/>
  <c r="I11" i="191"/>
  <c r="H11" i="191"/>
  <c r="G11" i="191"/>
  <c r="F11" i="191"/>
  <c r="E11" i="191"/>
  <c r="D11" i="191"/>
  <c r="C11" i="191"/>
  <c r="B9" i="191"/>
  <c r="K7" i="191"/>
  <c r="J7" i="191"/>
  <c r="D7" i="191"/>
  <c r="C7" i="191"/>
  <c r="B7" i="191"/>
  <c r="K6" i="191"/>
  <c r="J6" i="191"/>
  <c r="I6" i="191"/>
  <c r="H6" i="191"/>
  <c r="G6" i="191"/>
  <c r="F6" i="191"/>
  <c r="E6" i="191"/>
  <c r="D6" i="191"/>
  <c r="C6" i="191"/>
  <c r="B6" i="191"/>
  <c r="B5" i="191"/>
  <c r="K39" i="66"/>
  <c r="J39" i="66"/>
  <c r="I39" i="66"/>
  <c r="H39" i="66"/>
  <c r="G39" i="66"/>
  <c r="F39" i="66"/>
  <c r="E39" i="66"/>
  <c r="D39" i="66"/>
  <c r="C39" i="66"/>
  <c r="B39" i="66"/>
  <c r="K38" i="66"/>
  <c r="J38" i="66"/>
  <c r="I38" i="66"/>
  <c r="H38" i="66"/>
  <c r="G38" i="66"/>
  <c r="F38" i="66"/>
  <c r="E38" i="66"/>
  <c r="D38" i="66"/>
  <c r="C38" i="66"/>
  <c r="B38" i="66"/>
  <c r="K37" i="66"/>
  <c r="J37" i="66"/>
  <c r="I37" i="66"/>
  <c r="H37" i="66"/>
  <c r="G37" i="66"/>
  <c r="F37" i="66"/>
  <c r="E37" i="66"/>
  <c r="D37" i="66"/>
  <c r="C37" i="66"/>
  <c r="B37" i="66"/>
  <c r="K36" i="66"/>
  <c r="J36" i="66"/>
  <c r="I36" i="66"/>
  <c r="H36" i="66"/>
  <c r="G36" i="66"/>
  <c r="F36" i="66"/>
  <c r="E36" i="66"/>
  <c r="D36" i="66"/>
  <c r="C36" i="66"/>
  <c r="B36" i="66"/>
  <c r="K35" i="66"/>
  <c r="K34" i="66"/>
  <c r="K33" i="66"/>
  <c r="K32" i="66"/>
  <c r="K31" i="66"/>
  <c r="K30" i="66"/>
  <c r="K29" i="66"/>
  <c r="J29" i="66"/>
  <c r="I29" i="66"/>
  <c r="H29" i="66"/>
  <c r="G29" i="66"/>
  <c r="F29" i="66"/>
  <c r="E29" i="66"/>
  <c r="D29" i="66"/>
  <c r="C29" i="66"/>
  <c r="B29" i="66"/>
  <c r="K28" i="66"/>
  <c r="J28" i="66"/>
  <c r="I28" i="66"/>
  <c r="H28" i="66"/>
  <c r="G28" i="66"/>
  <c r="F28" i="66"/>
  <c r="E28" i="66"/>
  <c r="D28" i="66"/>
  <c r="C28" i="66"/>
  <c r="B28" i="66"/>
  <c r="K27" i="66"/>
  <c r="J27" i="66"/>
  <c r="I27" i="66"/>
  <c r="H27" i="66"/>
  <c r="G27" i="66"/>
  <c r="F27" i="66"/>
  <c r="E27" i="66"/>
  <c r="D27" i="66"/>
  <c r="C27" i="66"/>
  <c r="B27" i="66"/>
  <c r="K26" i="66"/>
  <c r="J26" i="66"/>
  <c r="I26" i="66"/>
  <c r="H26" i="66"/>
  <c r="G26" i="66"/>
  <c r="F26" i="66"/>
  <c r="E26" i="66"/>
  <c r="D26" i="66"/>
  <c r="C26" i="66"/>
  <c r="B26" i="66"/>
  <c r="K25" i="66"/>
  <c r="J25" i="66"/>
  <c r="I25" i="66"/>
  <c r="H25" i="66"/>
  <c r="G25" i="66"/>
  <c r="F25" i="66"/>
  <c r="E25" i="66"/>
  <c r="D25" i="66"/>
  <c r="C25" i="66"/>
  <c r="B25" i="66"/>
  <c r="K24" i="66"/>
  <c r="K23" i="66"/>
  <c r="K22" i="66"/>
  <c r="K21" i="66"/>
  <c r="K20" i="66"/>
  <c r="K19" i="66"/>
  <c r="J16" i="66"/>
  <c r="I16" i="66"/>
  <c r="H16" i="66"/>
  <c r="G16" i="66"/>
  <c r="F16" i="66"/>
  <c r="E16" i="66"/>
  <c r="D16" i="66"/>
  <c r="C16" i="66"/>
  <c r="B16" i="66"/>
  <c r="K15" i="66"/>
  <c r="K14" i="66"/>
  <c r="K13" i="66"/>
  <c r="K11" i="66"/>
  <c r="K10" i="66"/>
  <c r="K9" i="66"/>
  <c r="K7" i="66"/>
  <c r="I7" i="66"/>
  <c r="H7" i="66"/>
  <c r="G7" i="66"/>
  <c r="F7" i="66"/>
  <c r="E7" i="66"/>
  <c r="D7" i="66"/>
  <c r="C7" i="66"/>
  <c r="B7" i="66"/>
  <c r="N16" i="96"/>
  <c r="M16" i="96"/>
  <c r="L16" i="96"/>
  <c r="K16" i="96"/>
  <c r="J16" i="96"/>
  <c r="C16" i="96"/>
  <c r="B16" i="96"/>
  <c r="N15" i="96"/>
  <c r="M15" i="96"/>
  <c r="L15" i="96"/>
  <c r="K15" i="96"/>
  <c r="J15" i="96"/>
  <c r="N14" i="96"/>
  <c r="M14" i="96"/>
  <c r="L14" i="96"/>
  <c r="K14" i="96"/>
  <c r="J14" i="96"/>
  <c r="N13" i="96"/>
  <c r="M13" i="96"/>
  <c r="L13" i="96"/>
  <c r="K13" i="96"/>
  <c r="J13" i="96"/>
  <c r="N12" i="96"/>
  <c r="M12" i="96"/>
  <c r="L12" i="96"/>
  <c r="K12" i="96"/>
  <c r="J12" i="96"/>
  <c r="N11" i="96"/>
  <c r="M11" i="96"/>
  <c r="L11" i="96"/>
  <c r="K11" i="96"/>
  <c r="J11" i="96"/>
  <c r="N10" i="96"/>
  <c r="M10" i="96"/>
  <c r="L10" i="96"/>
  <c r="K10" i="96"/>
  <c r="J10" i="96"/>
  <c r="N9" i="96"/>
  <c r="M9" i="96"/>
  <c r="L9" i="96"/>
  <c r="K9" i="96"/>
  <c r="J9" i="96"/>
  <c r="N8" i="96"/>
  <c r="M8" i="96"/>
  <c r="L8" i="96"/>
  <c r="K8" i="96"/>
  <c r="J8" i="96"/>
  <c r="N7" i="96"/>
  <c r="M7" i="96"/>
  <c r="L7" i="96"/>
  <c r="K7" i="96"/>
  <c r="J7" i="96"/>
  <c r="K16" i="97"/>
  <c r="J16" i="97"/>
  <c r="I16" i="97"/>
  <c r="H16" i="97"/>
  <c r="G16" i="97"/>
  <c r="B16" i="97"/>
  <c r="K15" i="97"/>
  <c r="J15" i="97"/>
  <c r="I15" i="97"/>
  <c r="H15" i="97"/>
  <c r="G15" i="97"/>
  <c r="K14" i="97"/>
  <c r="J14" i="97"/>
  <c r="I14" i="97"/>
  <c r="H14" i="97"/>
  <c r="G14" i="97"/>
  <c r="K13" i="97"/>
  <c r="J13" i="97"/>
  <c r="I13" i="97"/>
  <c r="H13" i="97"/>
  <c r="G13" i="97"/>
  <c r="K12" i="97"/>
  <c r="J12" i="97"/>
  <c r="I12" i="97"/>
  <c r="H12" i="97"/>
  <c r="G12" i="97"/>
  <c r="K11" i="97"/>
  <c r="J11" i="97"/>
  <c r="I11" i="97"/>
  <c r="H11" i="97"/>
  <c r="G11" i="97"/>
  <c r="K10" i="97"/>
  <c r="J10" i="97"/>
  <c r="I10" i="97"/>
  <c r="H10" i="97"/>
  <c r="G10" i="97"/>
  <c r="K9" i="97"/>
  <c r="J9" i="97"/>
  <c r="I9" i="97"/>
  <c r="H9" i="97"/>
  <c r="G9" i="97"/>
  <c r="K8" i="97"/>
  <c r="J8" i="97"/>
  <c r="I8" i="97"/>
  <c r="H8" i="97"/>
  <c r="G8" i="97"/>
  <c r="K7" i="97"/>
  <c r="J7" i="97"/>
  <c r="I7" i="97"/>
  <c r="H7" i="97"/>
  <c r="G7" i="97"/>
  <c r="I158" i="158"/>
  <c r="B158" i="158"/>
  <c r="I157" i="158"/>
  <c r="B157" i="158"/>
  <c r="I156" i="158"/>
  <c r="B156" i="158"/>
  <c r="I155" i="158"/>
  <c r="B155" i="158"/>
  <c r="I154" i="158"/>
  <c r="B154" i="158"/>
  <c r="I153" i="158"/>
  <c r="B153" i="158"/>
  <c r="I152" i="158"/>
  <c r="B152" i="158"/>
  <c r="I151" i="158"/>
  <c r="B151" i="158"/>
  <c r="I150" i="158"/>
  <c r="B150" i="158"/>
  <c r="I149" i="158"/>
  <c r="E149" i="158"/>
  <c r="D149" i="158"/>
  <c r="C149" i="158"/>
  <c r="B149" i="158"/>
  <c r="I148" i="158"/>
  <c r="B148" i="158"/>
  <c r="I147" i="158"/>
  <c r="B147" i="158"/>
  <c r="I146" i="158"/>
  <c r="B146" i="158"/>
  <c r="I145" i="158"/>
  <c r="B145" i="158"/>
  <c r="I144" i="158"/>
  <c r="B144" i="158"/>
  <c r="I143" i="158"/>
  <c r="B143" i="158"/>
  <c r="I142" i="158"/>
  <c r="B142" i="158"/>
  <c r="I141" i="158"/>
  <c r="B141" i="158"/>
  <c r="I140" i="158"/>
  <c r="B140" i="158"/>
  <c r="I139" i="158"/>
  <c r="E139" i="158"/>
  <c r="D139" i="158"/>
  <c r="C139" i="158"/>
  <c r="B139" i="158"/>
  <c r="I138" i="158"/>
  <c r="B138" i="158"/>
  <c r="I137" i="158"/>
  <c r="B137" i="158"/>
  <c r="I136" i="158"/>
  <c r="B136" i="158"/>
  <c r="I135" i="158"/>
  <c r="B135" i="158"/>
  <c r="I134" i="158"/>
  <c r="B134" i="158"/>
  <c r="I133" i="158"/>
  <c r="B133" i="158"/>
  <c r="I132" i="158"/>
  <c r="B132" i="158"/>
  <c r="I131" i="158"/>
  <c r="B131" i="158"/>
  <c r="I130" i="158"/>
  <c r="B130" i="158"/>
  <c r="I129" i="158"/>
  <c r="E129" i="158"/>
  <c r="D129" i="158"/>
  <c r="C129" i="158"/>
  <c r="B129" i="158"/>
  <c r="I128" i="158"/>
  <c r="E128" i="158"/>
  <c r="D128" i="158"/>
  <c r="C128" i="158"/>
  <c r="I126" i="158"/>
  <c r="B126" i="158"/>
  <c r="I125" i="158"/>
  <c r="B125" i="158"/>
  <c r="I124" i="158"/>
  <c r="B124" i="158"/>
  <c r="I123" i="158"/>
  <c r="B123" i="158"/>
  <c r="I122" i="158"/>
  <c r="B122" i="158"/>
  <c r="I121" i="158"/>
  <c r="B121" i="158"/>
  <c r="I120" i="158"/>
  <c r="B120" i="158"/>
  <c r="I119" i="158"/>
  <c r="B119" i="158"/>
  <c r="I118" i="158"/>
  <c r="B118" i="158"/>
  <c r="I117" i="158"/>
  <c r="E117" i="158"/>
  <c r="D117" i="158"/>
  <c r="C117" i="158"/>
  <c r="B117" i="158"/>
  <c r="I116" i="158"/>
  <c r="B116" i="158"/>
  <c r="I115" i="158"/>
  <c r="B115" i="158"/>
  <c r="I114" i="158"/>
  <c r="B114" i="158"/>
  <c r="I113" i="158"/>
  <c r="B113" i="158"/>
  <c r="I112" i="158"/>
  <c r="B112" i="158"/>
  <c r="I111" i="158"/>
  <c r="B111" i="158"/>
  <c r="I110" i="158"/>
  <c r="B110" i="158"/>
  <c r="I109" i="158"/>
  <c r="B109" i="158"/>
  <c r="I108" i="158"/>
  <c r="B108" i="158"/>
  <c r="I107" i="158"/>
  <c r="E107" i="158"/>
  <c r="D107" i="158"/>
  <c r="C107" i="158"/>
  <c r="B107" i="158"/>
  <c r="I106" i="158"/>
  <c r="I104" i="158"/>
  <c r="B104" i="158"/>
  <c r="I103" i="158"/>
  <c r="B103" i="158"/>
  <c r="I102" i="158"/>
  <c r="B102" i="158"/>
  <c r="I101" i="158"/>
  <c r="B101" i="158"/>
  <c r="I100" i="158"/>
  <c r="B100" i="158"/>
  <c r="I99" i="158"/>
  <c r="B99" i="158"/>
  <c r="I98" i="158"/>
  <c r="B98" i="158"/>
  <c r="I97" i="158"/>
  <c r="B97" i="158"/>
  <c r="I96" i="158"/>
  <c r="B96" i="158"/>
  <c r="I95" i="158"/>
  <c r="E95" i="158"/>
  <c r="D95" i="158"/>
  <c r="C95" i="158"/>
  <c r="B95" i="158"/>
  <c r="I93" i="158"/>
  <c r="B93" i="158"/>
  <c r="I92" i="158"/>
  <c r="B92" i="158"/>
  <c r="I91" i="158"/>
  <c r="B91" i="158"/>
  <c r="I90" i="158"/>
  <c r="B90" i="158"/>
  <c r="I89" i="158"/>
  <c r="B89" i="158"/>
  <c r="I88" i="158"/>
  <c r="B88" i="158"/>
  <c r="I87" i="158"/>
  <c r="B87" i="158"/>
  <c r="I86" i="158"/>
  <c r="B86" i="158"/>
  <c r="I85" i="158"/>
  <c r="B85" i="158"/>
  <c r="I84" i="158"/>
  <c r="E84" i="158"/>
  <c r="D84" i="158"/>
  <c r="C84" i="158"/>
  <c r="B84" i="158"/>
  <c r="I82" i="158"/>
  <c r="B82" i="158"/>
  <c r="I81" i="158"/>
  <c r="B81" i="158"/>
  <c r="I80" i="158"/>
  <c r="B80" i="158"/>
  <c r="I79" i="158"/>
  <c r="B79" i="158"/>
  <c r="I78" i="158"/>
  <c r="B78" i="158"/>
  <c r="I77" i="158"/>
  <c r="B77" i="158"/>
  <c r="I76" i="158"/>
  <c r="B76" i="158"/>
  <c r="I75" i="158"/>
  <c r="B75" i="158"/>
  <c r="I74" i="158"/>
  <c r="B74" i="158"/>
  <c r="I73" i="158"/>
  <c r="E73" i="158"/>
  <c r="D73" i="158"/>
  <c r="C73" i="158"/>
  <c r="B73" i="158"/>
  <c r="I71" i="158"/>
  <c r="B71" i="158"/>
  <c r="I70" i="158"/>
  <c r="B70" i="158"/>
  <c r="I69" i="158"/>
  <c r="B69" i="158"/>
  <c r="I68" i="158"/>
  <c r="B68" i="158"/>
  <c r="I67" i="158"/>
  <c r="B67" i="158"/>
  <c r="I66" i="158"/>
  <c r="B66" i="158"/>
  <c r="I65" i="158"/>
  <c r="B65" i="158"/>
  <c r="I64" i="158"/>
  <c r="B64" i="158"/>
  <c r="I63" i="158"/>
  <c r="B63" i="158"/>
  <c r="I62" i="158"/>
  <c r="E62" i="158"/>
  <c r="D62" i="158"/>
  <c r="C62" i="158"/>
  <c r="B62" i="158"/>
  <c r="I61" i="158"/>
  <c r="B61" i="158"/>
  <c r="I60" i="158"/>
  <c r="B60" i="158"/>
  <c r="I59" i="158"/>
  <c r="B59" i="158"/>
  <c r="I58" i="158"/>
  <c r="B58" i="158"/>
  <c r="I57" i="158"/>
  <c r="B57" i="158"/>
  <c r="I56" i="158"/>
  <c r="B56" i="158"/>
  <c r="I55" i="158"/>
  <c r="B55" i="158"/>
  <c r="I54" i="158"/>
  <c r="B54" i="158"/>
  <c r="I53" i="158"/>
  <c r="B53" i="158"/>
  <c r="I52" i="158"/>
  <c r="E52" i="158"/>
  <c r="D52" i="158"/>
  <c r="C52" i="158"/>
  <c r="B52" i="158"/>
  <c r="I51" i="158"/>
  <c r="E51" i="158"/>
  <c r="D51" i="158"/>
  <c r="C51" i="158"/>
  <c r="B51" i="158"/>
  <c r="I50" i="158"/>
  <c r="E50" i="158"/>
  <c r="D50" i="158"/>
  <c r="C50" i="158"/>
  <c r="B50" i="158"/>
  <c r="I49" i="158"/>
  <c r="E49" i="158"/>
  <c r="D49" i="158"/>
  <c r="C49" i="158"/>
  <c r="B49" i="158"/>
  <c r="I48" i="158"/>
  <c r="E48" i="158"/>
  <c r="D48" i="158"/>
  <c r="C48" i="158"/>
  <c r="B48" i="158"/>
  <c r="I47" i="158"/>
  <c r="E47" i="158"/>
  <c r="D47" i="158"/>
  <c r="C47" i="158"/>
  <c r="B47" i="158"/>
  <c r="I46" i="158"/>
  <c r="E46" i="158"/>
  <c r="D46" i="158"/>
  <c r="C46" i="158"/>
  <c r="B46" i="158"/>
  <c r="I45" i="158"/>
  <c r="E45" i="158"/>
  <c r="D45" i="158"/>
  <c r="C45" i="158"/>
  <c r="B45" i="158"/>
  <c r="I44" i="158"/>
  <c r="E44" i="158"/>
  <c r="D44" i="158"/>
  <c r="C44" i="158"/>
  <c r="B44" i="158"/>
  <c r="I43" i="158"/>
  <c r="E43" i="158"/>
  <c r="D43" i="158"/>
  <c r="C43" i="158"/>
  <c r="B43" i="158"/>
  <c r="I42" i="158"/>
  <c r="E42" i="158"/>
  <c r="D42" i="158"/>
  <c r="C42" i="158"/>
  <c r="B42" i="158"/>
  <c r="I41" i="158"/>
  <c r="E41" i="158"/>
  <c r="D41" i="158"/>
  <c r="C41" i="158"/>
  <c r="B41" i="158"/>
  <c r="I39" i="158"/>
  <c r="B39" i="158"/>
  <c r="I38" i="158"/>
  <c r="B38" i="158"/>
  <c r="I37" i="158"/>
  <c r="B37" i="158"/>
  <c r="I36" i="158"/>
  <c r="B36" i="158"/>
  <c r="I35" i="158"/>
  <c r="B35" i="158"/>
  <c r="I34" i="158"/>
  <c r="B34" i="158"/>
  <c r="I33" i="158"/>
  <c r="B33" i="158"/>
  <c r="I32" i="158"/>
  <c r="B32" i="158"/>
  <c r="I31" i="158"/>
  <c r="B31" i="158"/>
  <c r="I30" i="158"/>
  <c r="E30" i="158"/>
  <c r="D30" i="158"/>
  <c r="C30" i="158"/>
  <c r="B30" i="158"/>
  <c r="I28" i="158"/>
  <c r="B28" i="158"/>
  <c r="I27" i="158"/>
  <c r="B27" i="158"/>
  <c r="I26" i="158"/>
  <c r="B26" i="158"/>
  <c r="I25" i="158"/>
  <c r="B25" i="158"/>
  <c r="I24" i="158"/>
  <c r="B24" i="158"/>
  <c r="I23" i="158"/>
  <c r="B23" i="158"/>
  <c r="I22" i="158"/>
  <c r="B22" i="158"/>
  <c r="I21" i="158"/>
  <c r="B21" i="158"/>
  <c r="I20" i="158"/>
  <c r="B20" i="158"/>
  <c r="I19" i="158"/>
  <c r="E19" i="158"/>
  <c r="D19" i="158"/>
  <c r="C19" i="158"/>
  <c r="B19" i="158"/>
  <c r="M16" i="158"/>
  <c r="L16" i="158"/>
  <c r="K16" i="158"/>
  <c r="J16" i="158"/>
  <c r="E16" i="158"/>
  <c r="D16" i="158"/>
  <c r="C16" i="158"/>
  <c r="B16" i="158"/>
  <c r="M15" i="158"/>
  <c r="L15" i="158"/>
  <c r="K15" i="158"/>
  <c r="J15" i="158"/>
  <c r="E15" i="158"/>
  <c r="D15" i="158"/>
  <c r="C15" i="158"/>
  <c r="B15" i="158"/>
  <c r="M14" i="158"/>
  <c r="L14" i="158"/>
  <c r="K14" i="158"/>
  <c r="J14" i="158"/>
  <c r="E14" i="158"/>
  <c r="D14" i="158"/>
  <c r="C14" i="158"/>
  <c r="B14" i="158"/>
  <c r="M13" i="158"/>
  <c r="L13" i="158"/>
  <c r="K13" i="158"/>
  <c r="J13" i="158"/>
  <c r="E13" i="158"/>
  <c r="D13" i="158"/>
  <c r="C13" i="158"/>
  <c r="B13" i="158"/>
  <c r="M12" i="158"/>
  <c r="L12" i="158"/>
  <c r="K12" i="158"/>
  <c r="J12" i="158"/>
  <c r="E12" i="158"/>
  <c r="D12" i="158"/>
  <c r="C12" i="158"/>
  <c r="B12" i="158"/>
  <c r="M11" i="158"/>
  <c r="L11" i="158"/>
  <c r="K11" i="158"/>
  <c r="J11" i="158"/>
  <c r="E11" i="158"/>
  <c r="D11" i="158"/>
  <c r="C11" i="158"/>
  <c r="B11" i="158"/>
  <c r="M10" i="158"/>
  <c r="L10" i="158"/>
  <c r="K10" i="158"/>
  <c r="J10" i="158"/>
  <c r="E10" i="158"/>
  <c r="D10" i="158"/>
  <c r="C10" i="158"/>
  <c r="B10" i="158"/>
  <c r="M9" i="158"/>
  <c r="L9" i="158"/>
  <c r="K9" i="158"/>
  <c r="J9" i="158"/>
  <c r="E9" i="158"/>
  <c r="D9" i="158"/>
  <c r="C9" i="158"/>
  <c r="B9" i="158"/>
  <c r="M8" i="158"/>
  <c r="L8" i="158"/>
  <c r="K8" i="158"/>
  <c r="J8" i="158"/>
  <c r="E8" i="158"/>
  <c r="D8" i="158"/>
  <c r="C8" i="158"/>
  <c r="B8" i="158"/>
  <c r="M7" i="158"/>
  <c r="L7" i="158"/>
  <c r="K7" i="158"/>
  <c r="J7" i="158"/>
  <c r="I7" i="158"/>
  <c r="E7" i="158"/>
  <c r="D7" i="158"/>
  <c r="C7" i="158"/>
  <c r="B7" i="158"/>
  <c r="E48" i="170"/>
  <c r="L46" i="170"/>
  <c r="K46" i="170"/>
  <c r="J46" i="170"/>
  <c r="E46" i="170"/>
  <c r="J22" i="170"/>
  <c r="E22" i="170"/>
  <c r="J20" i="170"/>
  <c r="E20" i="170"/>
  <c r="D74" i="171"/>
  <c r="D73" i="171"/>
  <c r="D72" i="171"/>
  <c r="D71" i="171"/>
  <c r="D70" i="171"/>
  <c r="D69" i="171"/>
  <c r="D68" i="171"/>
  <c r="D67" i="171"/>
  <c r="D66" i="171"/>
  <c r="B66" i="171"/>
  <c r="F64" i="171"/>
  <c r="E64" i="171"/>
  <c r="D64" i="171"/>
  <c r="D53" i="171"/>
  <c r="C53" i="171"/>
  <c r="B53" i="171"/>
  <c r="X38" i="95"/>
  <c r="W38" i="95"/>
  <c r="V38" i="95"/>
  <c r="U38" i="95"/>
  <c r="T38" i="95"/>
  <c r="S38" i="95"/>
  <c r="R38" i="95"/>
  <c r="Q38" i="95"/>
  <c r="P38" i="95"/>
  <c r="O38" i="95"/>
  <c r="N38" i="95"/>
  <c r="M38" i="95"/>
  <c r="L38" i="95"/>
  <c r="K38" i="95"/>
  <c r="J38" i="95"/>
  <c r="I38" i="95"/>
  <c r="H38" i="95"/>
  <c r="G38" i="95"/>
  <c r="F38" i="95"/>
  <c r="E38" i="95"/>
  <c r="D38" i="95"/>
  <c r="C38" i="95"/>
  <c r="X37" i="95"/>
  <c r="L37" i="95"/>
  <c r="K37" i="95"/>
  <c r="J37" i="95"/>
  <c r="I37" i="95"/>
  <c r="H37" i="95"/>
  <c r="G37" i="95"/>
  <c r="F37" i="95"/>
  <c r="E37" i="95"/>
  <c r="D37" i="95"/>
  <c r="C37" i="95"/>
  <c r="X36" i="95"/>
  <c r="W36" i="95"/>
  <c r="V36" i="95"/>
  <c r="T36" i="95"/>
  <c r="S36" i="95"/>
  <c r="L36" i="95"/>
  <c r="J36" i="95"/>
  <c r="I36" i="95"/>
  <c r="H36" i="95"/>
  <c r="G36" i="95"/>
  <c r="E36" i="95"/>
  <c r="D36" i="95"/>
  <c r="X35" i="95"/>
  <c r="W35" i="95"/>
  <c r="V35" i="95"/>
  <c r="T35" i="95"/>
  <c r="S35" i="95"/>
  <c r="L35" i="95"/>
  <c r="J35" i="95"/>
  <c r="I35" i="95"/>
  <c r="H35" i="95"/>
  <c r="G35" i="95"/>
  <c r="E35" i="95"/>
  <c r="D35" i="95"/>
  <c r="X34" i="95"/>
  <c r="L34" i="95"/>
  <c r="J34" i="95"/>
  <c r="I34" i="95"/>
  <c r="H34" i="95"/>
  <c r="G34" i="95"/>
  <c r="F34" i="95"/>
  <c r="E34" i="95"/>
  <c r="D34" i="95"/>
  <c r="C34" i="95"/>
  <c r="X33" i="95"/>
  <c r="W33" i="95"/>
  <c r="V33" i="95"/>
  <c r="T33" i="95"/>
  <c r="S33" i="95"/>
  <c r="L33" i="95"/>
  <c r="J33" i="95"/>
  <c r="I33" i="95"/>
  <c r="H33" i="95"/>
  <c r="G33" i="95"/>
  <c r="E33" i="95"/>
  <c r="D33" i="95"/>
  <c r="X32" i="95"/>
  <c r="W32" i="95"/>
  <c r="V32" i="95"/>
  <c r="T32" i="95"/>
  <c r="S32" i="95"/>
  <c r="L32" i="95"/>
  <c r="J32" i="95"/>
  <c r="I32" i="95"/>
  <c r="H32" i="95"/>
  <c r="G32" i="95"/>
  <c r="E32" i="95"/>
  <c r="D32" i="95"/>
  <c r="X31" i="95"/>
  <c r="L31" i="95"/>
  <c r="K31" i="95"/>
  <c r="J31" i="95"/>
  <c r="I31" i="95"/>
  <c r="H31" i="95"/>
  <c r="G31" i="95"/>
  <c r="F31" i="95"/>
  <c r="E31" i="95"/>
  <c r="D31" i="95"/>
  <c r="C31" i="95"/>
  <c r="X30" i="95"/>
  <c r="W30" i="95"/>
  <c r="V30" i="95"/>
  <c r="T30" i="95"/>
  <c r="S30" i="95"/>
  <c r="L30" i="95"/>
  <c r="J30" i="95"/>
  <c r="I30" i="95"/>
  <c r="H30" i="95"/>
  <c r="G30" i="95"/>
  <c r="E30" i="95"/>
  <c r="D30" i="95"/>
  <c r="X29" i="95"/>
  <c r="W29" i="95"/>
  <c r="V29" i="95"/>
  <c r="T29" i="95"/>
  <c r="S29" i="95"/>
  <c r="L29" i="95"/>
  <c r="J29" i="95"/>
  <c r="I29" i="95"/>
  <c r="H29" i="95"/>
  <c r="G29" i="95"/>
  <c r="E29" i="95"/>
  <c r="D29" i="95"/>
  <c r="X28" i="95"/>
  <c r="O28" i="95"/>
  <c r="L28" i="95"/>
  <c r="K28" i="95"/>
  <c r="J28" i="95"/>
  <c r="I28" i="95"/>
  <c r="H28" i="95"/>
  <c r="G28" i="95"/>
  <c r="F28" i="95"/>
  <c r="E28" i="95"/>
  <c r="D28" i="95"/>
  <c r="C28" i="95"/>
  <c r="X27" i="95"/>
  <c r="W27" i="95"/>
  <c r="V27" i="95"/>
  <c r="T27" i="95"/>
  <c r="S27" i="95"/>
  <c r="L27" i="95"/>
  <c r="J27" i="95"/>
  <c r="I27" i="95"/>
  <c r="H27" i="95"/>
  <c r="G27" i="95"/>
  <c r="E27" i="95"/>
  <c r="D27" i="95"/>
  <c r="X26" i="95"/>
  <c r="W26" i="95"/>
  <c r="V26" i="95"/>
  <c r="T26" i="95"/>
  <c r="S26" i="95"/>
  <c r="L26" i="95"/>
  <c r="J26" i="95"/>
  <c r="I26" i="95"/>
  <c r="H26" i="95"/>
  <c r="G26" i="95"/>
  <c r="E26" i="95"/>
  <c r="D26" i="95"/>
  <c r="X25" i="95"/>
  <c r="L25" i="95"/>
  <c r="J25" i="95"/>
  <c r="I25" i="95"/>
  <c r="H25" i="95"/>
  <c r="G25" i="95"/>
  <c r="F25" i="95"/>
  <c r="E25" i="95"/>
  <c r="D25" i="95"/>
  <c r="C25" i="95"/>
  <c r="X24" i="95"/>
  <c r="W24" i="95"/>
  <c r="V24" i="95"/>
  <c r="T24" i="95"/>
  <c r="S24" i="95"/>
  <c r="L24" i="95"/>
  <c r="J24" i="95"/>
  <c r="I24" i="95"/>
  <c r="H24" i="95"/>
  <c r="G24" i="95"/>
  <c r="E24" i="95"/>
  <c r="D24" i="95"/>
  <c r="X23" i="95"/>
  <c r="Q23" i="95"/>
  <c r="O23" i="95"/>
  <c r="L23" i="95"/>
  <c r="K23" i="95"/>
  <c r="J23" i="95"/>
  <c r="I23" i="95"/>
  <c r="H23" i="95"/>
  <c r="G23" i="95"/>
  <c r="F23" i="95"/>
  <c r="E23" i="95"/>
  <c r="D23" i="95"/>
  <c r="C23" i="95"/>
  <c r="X22" i="95"/>
  <c r="W22" i="95"/>
  <c r="V22" i="95"/>
  <c r="T22" i="95"/>
  <c r="S22" i="95"/>
  <c r="L22" i="95"/>
  <c r="J22" i="95"/>
  <c r="I22" i="95"/>
  <c r="H22" i="95"/>
  <c r="G22" i="95"/>
  <c r="E22" i="95"/>
  <c r="D22" i="95"/>
  <c r="X21" i="95"/>
  <c r="L21" i="95"/>
  <c r="K21" i="95"/>
  <c r="J21" i="95"/>
  <c r="I21" i="95"/>
  <c r="H21" i="95"/>
  <c r="G21" i="95"/>
  <c r="F21" i="95"/>
  <c r="E21" i="95"/>
  <c r="D21" i="95"/>
  <c r="C21" i="95"/>
  <c r="X20" i="95"/>
  <c r="W20" i="95"/>
  <c r="V20" i="95"/>
  <c r="T20" i="95"/>
  <c r="S20" i="95"/>
  <c r="L20" i="95"/>
  <c r="J20" i="95"/>
  <c r="I20" i="95"/>
  <c r="H20" i="95"/>
  <c r="G20" i="95"/>
  <c r="E20" i="95"/>
  <c r="D20" i="95"/>
  <c r="X19" i="95"/>
  <c r="W19" i="95"/>
  <c r="V19" i="95"/>
  <c r="T19" i="95"/>
  <c r="S19" i="95"/>
  <c r="L19" i="95"/>
  <c r="J19" i="95"/>
  <c r="I19" i="95"/>
  <c r="H19" i="95"/>
  <c r="G19" i="95"/>
  <c r="E19" i="95"/>
  <c r="D19" i="95"/>
  <c r="X18" i="95"/>
  <c r="L18" i="95"/>
  <c r="K18" i="95"/>
  <c r="J18" i="95"/>
  <c r="I18" i="95"/>
  <c r="H18" i="95"/>
  <c r="G18" i="95"/>
  <c r="F18" i="95"/>
  <c r="E18" i="95"/>
  <c r="D18" i="95"/>
  <c r="C18" i="95"/>
  <c r="X17" i="95"/>
  <c r="L17" i="95"/>
  <c r="J17" i="95"/>
  <c r="I17" i="95"/>
  <c r="H17" i="95"/>
  <c r="G17" i="95"/>
  <c r="E17" i="95"/>
  <c r="D17" i="95"/>
  <c r="X16" i="95"/>
  <c r="W16" i="95"/>
  <c r="V16" i="95"/>
  <c r="T16" i="95"/>
  <c r="S16" i="95"/>
  <c r="L16" i="95"/>
  <c r="J16" i="95"/>
  <c r="I16" i="95"/>
  <c r="H16" i="95"/>
  <c r="G16" i="95"/>
  <c r="E16" i="95"/>
  <c r="D16" i="95"/>
  <c r="X15" i="95"/>
  <c r="Q15" i="95"/>
  <c r="L15" i="95"/>
  <c r="J15" i="95"/>
  <c r="I15" i="95"/>
  <c r="H15" i="95"/>
  <c r="G15" i="95"/>
  <c r="F15" i="95"/>
  <c r="E15" i="95"/>
  <c r="D15" i="95"/>
  <c r="C15" i="95"/>
  <c r="X14" i="95"/>
  <c r="W14" i="95"/>
  <c r="V14" i="95"/>
  <c r="T14" i="95"/>
  <c r="S14" i="95"/>
  <c r="L14" i="95"/>
  <c r="J14" i="95"/>
  <c r="I14" i="95"/>
  <c r="H14" i="95"/>
  <c r="G14" i="95"/>
  <c r="E14" i="95"/>
  <c r="D14" i="95"/>
  <c r="X13" i="95"/>
  <c r="W13" i="95"/>
  <c r="V13" i="95"/>
  <c r="T13" i="95"/>
  <c r="S13" i="95"/>
  <c r="L13" i="95"/>
  <c r="J13" i="95"/>
  <c r="I13" i="95"/>
  <c r="H13" i="95"/>
  <c r="G13" i="95"/>
  <c r="E13" i="95"/>
  <c r="D13" i="95"/>
  <c r="X12" i="95"/>
  <c r="W12" i="95"/>
  <c r="V12" i="95"/>
  <c r="T12" i="95"/>
  <c r="S12" i="95"/>
  <c r="L12" i="95"/>
  <c r="J12" i="95"/>
  <c r="I12" i="95"/>
  <c r="H12" i="95"/>
  <c r="G12" i="95"/>
  <c r="E12" i="95"/>
  <c r="D12" i="95"/>
  <c r="X11" i="95"/>
  <c r="W11" i="95"/>
  <c r="V11" i="95"/>
  <c r="T11" i="95"/>
  <c r="S11" i="95"/>
  <c r="L11" i="95"/>
  <c r="J11" i="95"/>
  <c r="I11" i="95"/>
  <c r="H11" i="95"/>
  <c r="G11" i="95"/>
  <c r="E11" i="95"/>
  <c r="D11" i="95"/>
  <c r="X10" i="95"/>
  <c r="W10" i="95"/>
  <c r="V10" i="95"/>
  <c r="T10" i="95"/>
  <c r="S10" i="95"/>
  <c r="L10" i="95"/>
  <c r="J10" i="95"/>
  <c r="I10" i="95"/>
  <c r="H10" i="95"/>
  <c r="G10" i="95"/>
  <c r="E10" i="95"/>
  <c r="D10" i="95"/>
  <c r="X9" i="95"/>
  <c r="W9" i="95"/>
  <c r="V9" i="95"/>
  <c r="T9" i="95"/>
  <c r="S9" i="95"/>
  <c r="L9" i="95"/>
  <c r="J9" i="95"/>
  <c r="I9" i="95"/>
  <c r="H9" i="95"/>
  <c r="G9" i="95"/>
  <c r="E9" i="95"/>
  <c r="D9" i="95"/>
  <c r="K97" i="189"/>
  <c r="J97" i="189"/>
  <c r="I97" i="189"/>
  <c r="H97" i="189"/>
  <c r="G97" i="189"/>
  <c r="F97" i="189"/>
  <c r="E97" i="189"/>
  <c r="D97" i="189"/>
  <c r="C97" i="189"/>
  <c r="B97" i="189"/>
  <c r="H96" i="189"/>
  <c r="H95" i="189"/>
  <c r="G95" i="189"/>
  <c r="H94" i="189"/>
  <c r="G94" i="189"/>
  <c r="B94" i="189"/>
  <c r="H93" i="189"/>
  <c r="B93" i="189"/>
  <c r="H92" i="189"/>
  <c r="H91" i="189"/>
  <c r="H90" i="189"/>
  <c r="H89" i="189"/>
  <c r="G89" i="189"/>
  <c r="F89" i="189"/>
  <c r="B89" i="189"/>
  <c r="H88" i="189"/>
  <c r="D88" i="189"/>
  <c r="H87" i="189"/>
  <c r="D87" i="189"/>
  <c r="B87" i="189"/>
  <c r="H86" i="189"/>
  <c r="D86" i="189"/>
  <c r="B86" i="189"/>
  <c r="K85" i="189"/>
  <c r="J85" i="189"/>
  <c r="I85" i="189"/>
  <c r="H85" i="189"/>
  <c r="G85" i="189"/>
  <c r="F85" i="189"/>
  <c r="E85" i="189"/>
  <c r="D85" i="189"/>
  <c r="C85" i="189"/>
  <c r="B85" i="189"/>
  <c r="K58" i="189"/>
  <c r="J58" i="189"/>
  <c r="I58" i="189"/>
  <c r="H58" i="189"/>
  <c r="G58" i="189"/>
  <c r="F58" i="189"/>
  <c r="E58" i="189"/>
  <c r="D58" i="189"/>
  <c r="C58" i="189"/>
  <c r="B58" i="189"/>
  <c r="K57" i="189"/>
  <c r="J57" i="189"/>
  <c r="I57" i="189"/>
  <c r="H57" i="189"/>
  <c r="G57" i="189"/>
  <c r="F57" i="189"/>
  <c r="E57" i="189"/>
  <c r="D57" i="189"/>
  <c r="K56" i="189"/>
  <c r="J56" i="189"/>
  <c r="I56" i="189"/>
  <c r="H56" i="189"/>
  <c r="G56" i="189"/>
  <c r="F56" i="189"/>
  <c r="E56" i="189"/>
  <c r="D56" i="189"/>
  <c r="K55" i="189"/>
  <c r="J55" i="189"/>
  <c r="I55" i="189"/>
  <c r="H55" i="189"/>
  <c r="G55" i="189"/>
  <c r="F55" i="189"/>
  <c r="E55" i="189"/>
  <c r="D55" i="189"/>
  <c r="K54" i="189"/>
  <c r="J54" i="189"/>
  <c r="I54" i="189"/>
  <c r="H54" i="189"/>
  <c r="G54" i="189"/>
  <c r="F54" i="189"/>
  <c r="E54" i="189"/>
  <c r="D54" i="189"/>
  <c r="K53" i="189"/>
  <c r="J53" i="189"/>
  <c r="I53" i="189"/>
  <c r="H53" i="189"/>
  <c r="G53" i="189"/>
  <c r="F53" i="189"/>
  <c r="E53" i="189"/>
  <c r="D53" i="189"/>
  <c r="K52" i="189"/>
  <c r="J52" i="189"/>
  <c r="I52" i="189"/>
  <c r="H52" i="189"/>
  <c r="G52" i="189"/>
  <c r="F52" i="189"/>
  <c r="E52" i="189"/>
  <c r="D52" i="189"/>
  <c r="K51" i="189"/>
  <c r="J51" i="189"/>
  <c r="I51" i="189"/>
  <c r="H51" i="189"/>
  <c r="G51" i="189"/>
  <c r="F51" i="189"/>
  <c r="E51" i="189"/>
  <c r="D51" i="189"/>
  <c r="K50" i="189"/>
  <c r="J50" i="189"/>
  <c r="I50" i="189"/>
  <c r="H50" i="189"/>
  <c r="G50" i="189"/>
  <c r="F50" i="189"/>
  <c r="E50" i="189"/>
  <c r="D50" i="189"/>
  <c r="K49" i="189"/>
  <c r="J49" i="189"/>
  <c r="I49" i="189"/>
  <c r="H49" i="189"/>
  <c r="G49" i="189"/>
  <c r="F49" i="189"/>
  <c r="E49" i="189"/>
  <c r="D49" i="189"/>
  <c r="K48" i="189"/>
  <c r="J48" i="189"/>
  <c r="I48" i="189"/>
  <c r="H48" i="189"/>
  <c r="G48" i="189"/>
  <c r="F48" i="189"/>
  <c r="E48" i="189"/>
  <c r="D48" i="189"/>
  <c r="K47" i="189"/>
  <c r="J47" i="189"/>
  <c r="I47" i="189"/>
  <c r="H47" i="189"/>
  <c r="G47" i="189"/>
  <c r="F47" i="189"/>
  <c r="E47" i="189"/>
  <c r="D47" i="189"/>
  <c r="K46" i="189"/>
  <c r="J46" i="189"/>
  <c r="I46" i="189"/>
  <c r="H46" i="189"/>
  <c r="G46" i="189"/>
  <c r="F46" i="189"/>
  <c r="E46" i="189"/>
  <c r="D46" i="189"/>
  <c r="K40" i="189"/>
  <c r="J40" i="189"/>
  <c r="I40" i="189"/>
  <c r="H40" i="189"/>
  <c r="G40" i="189"/>
  <c r="F40" i="189"/>
  <c r="E40" i="189"/>
  <c r="D40" i="189"/>
  <c r="C40" i="189"/>
  <c r="B40" i="189"/>
  <c r="K39" i="189"/>
  <c r="J39" i="189"/>
  <c r="I39" i="189"/>
  <c r="H39" i="189"/>
  <c r="G39" i="189"/>
  <c r="F39" i="189"/>
  <c r="E39" i="189"/>
  <c r="K38" i="189"/>
  <c r="J38" i="189"/>
  <c r="I38" i="189"/>
  <c r="H38" i="189"/>
  <c r="G38" i="189"/>
  <c r="F38" i="189"/>
  <c r="E38" i="189"/>
  <c r="K37" i="189"/>
  <c r="J37" i="189"/>
  <c r="I37" i="189"/>
  <c r="H37" i="189"/>
  <c r="G37" i="189"/>
  <c r="F37" i="189"/>
  <c r="E37" i="189"/>
  <c r="K36" i="189"/>
  <c r="J36" i="189"/>
  <c r="I36" i="189"/>
  <c r="H36" i="189"/>
  <c r="G36" i="189"/>
  <c r="F36" i="189"/>
  <c r="E36" i="189"/>
  <c r="K35" i="189"/>
  <c r="J35" i="189"/>
  <c r="I35" i="189"/>
  <c r="H35" i="189"/>
  <c r="G35" i="189"/>
  <c r="F35" i="189"/>
  <c r="E35" i="189"/>
  <c r="K34" i="189"/>
  <c r="J34" i="189"/>
  <c r="I34" i="189"/>
  <c r="H34" i="189"/>
  <c r="G34" i="189"/>
  <c r="F34" i="189"/>
  <c r="E34" i="189"/>
  <c r="K33" i="189"/>
  <c r="J33" i="189"/>
  <c r="I33" i="189"/>
  <c r="H33" i="189"/>
  <c r="G33" i="189"/>
  <c r="F33" i="189"/>
  <c r="E33" i="189"/>
  <c r="K32" i="189"/>
  <c r="J32" i="189"/>
  <c r="I32" i="189"/>
  <c r="H32" i="189"/>
  <c r="G32" i="189"/>
  <c r="F32" i="189"/>
  <c r="E32" i="189"/>
  <c r="K31" i="189"/>
  <c r="J31" i="189"/>
  <c r="I31" i="189"/>
  <c r="H31" i="189"/>
  <c r="G31" i="189"/>
  <c r="F31" i="189"/>
  <c r="E31" i="189"/>
  <c r="K30" i="189"/>
  <c r="J30" i="189"/>
  <c r="I30" i="189"/>
  <c r="H30" i="189"/>
  <c r="G30" i="189"/>
  <c r="F30" i="189"/>
  <c r="E30" i="189"/>
  <c r="K29" i="189"/>
  <c r="J29" i="189"/>
  <c r="I29" i="189"/>
  <c r="H29" i="189"/>
  <c r="G29" i="189"/>
  <c r="F29" i="189"/>
  <c r="E29" i="189"/>
  <c r="K28" i="189"/>
  <c r="J28" i="189"/>
  <c r="I28" i="189"/>
  <c r="H28" i="189"/>
  <c r="G28" i="189"/>
  <c r="F28" i="189"/>
  <c r="E28" i="189"/>
  <c r="D28" i="189"/>
  <c r="J22" i="189"/>
  <c r="I22" i="189"/>
  <c r="H22" i="189"/>
  <c r="K21" i="189"/>
  <c r="J21" i="189"/>
  <c r="I21" i="189"/>
  <c r="H21" i="189"/>
  <c r="G21" i="189"/>
  <c r="F21" i="189"/>
  <c r="E21" i="189"/>
  <c r="D21" i="189"/>
  <c r="C21" i="189"/>
  <c r="B21" i="189"/>
  <c r="K20" i="189"/>
  <c r="J20" i="189"/>
  <c r="I20" i="189"/>
  <c r="H20" i="189"/>
  <c r="G20" i="189"/>
  <c r="F20" i="189"/>
  <c r="E20" i="189"/>
  <c r="K19" i="189"/>
  <c r="J19" i="189"/>
  <c r="I19" i="189"/>
  <c r="H19" i="189"/>
  <c r="G19" i="189"/>
  <c r="F19" i="189"/>
  <c r="E19" i="189"/>
  <c r="K18" i="189"/>
  <c r="J18" i="189"/>
  <c r="I18" i="189"/>
  <c r="H18" i="189"/>
  <c r="G18" i="189"/>
  <c r="F18" i="189"/>
  <c r="E18" i="189"/>
  <c r="K17" i="189"/>
  <c r="J17" i="189"/>
  <c r="I17" i="189"/>
  <c r="H17" i="189"/>
  <c r="G17" i="189"/>
  <c r="F17" i="189"/>
  <c r="E17" i="189"/>
  <c r="K16" i="189"/>
  <c r="J16" i="189"/>
  <c r="I16" i="189"/>
  <c r="H16" i="189"/>
  <c r="G16" i="189"/>
  <c r="F16" i="189"/>
  <c r="E16" i="189"/>
  <c r="K15" i="189"/>
  <c r="J15" i="189"/>
  <c r="I15" i="189"/>
  <c r="H15" i="189"/>
  <c r="G15" i="189"/>
  <c r="F15" i="189"/>
  <c r="E15" i="189"/>
  <c r="K14" i="189"/>
  <c r="J14" i="189"/>
  <c r="I14" i="189"/>
  <c r="H14" i="189"/>
  <c r="G14" i="189"/>
  <c r="F14" i="189"/>
  <c r="E14" i="189"/>
  <c r="K13" i="189"/>
  <c r="J13" i="189"/>
  <c r="I13" i="189"/>
  <c r="H13" i="189"/>
  <c r="G13" i="189"/>
  <c r="F13" i="189"/>
  <c r="E13" i="189"/>
  <c r="K12" i="189"/>
  <c r="J12" i="189"/>
  <c r="I12" i="189"/>
  <c r="H12" i="189"/>
  <c r="G12" i="189"/>
  <c r="F12" i="189"/>
  <c r="E12" i="189"/>
  <c r="K11" i="189"/>
  <c r="J11" i="189"/>
  <c r="I11" i="189"/>
  <c r="H11" i="189"/>
  <c r="G11" i="189"/>
  <c r="F11" i="189"/>
  <c r="E11" i="189"/>
  <c r="K10" i="189"/>
  <c r="J10" i="189"/>
  <c r="I10" i="189"/>
  <c r="H10" i="189"/>
  <c r="G10" i="189"/>
  <c r="F10" i="189"/>
  <c r="E10" i="189"/>
  <c r="K9" i="189"/>
  <c r="J9" i="189"/>
  <c r="I9" i="189"/>
  <c r="H9" i="189"/>
  <c r="G9" i="189"/>
  <c r="F9" i="189"/>
  <c r="E9" i="189"/>
  <c r="D9" i="189"/>
  <c r="J17" i="176"/>
  <c r="I17" i="176"/>
  <c r="H17" i="176"/>
  <c r="G17" i="176"/>
  <c r="F17" i="176"/>
  <c r="E17" i="176"/>
  <c r="D17" i="176"/>
  <c r="C17" i="176"/>
  <c r="B17" i="176"/>
  <c r="J16" i="176"/>
  <c r="I16" i="176"/>
  <c r="H16" i="176"/>
  <c r="G16" i="176"/>
  <c r="F16" i="176"/>
  <c r="J15" i="176"/>
  <c r="I15" i="176"/>
  <c r="H15" i="176"/>
  <c r="G15" i="176"/>
  <c r="F15" i="176"/>
  <c r="J14" i="176"/>
  <c r="I14" i="176"/>
  <c r="H14" i="176"/>
  <c r="G14" i="176"/>
  <c r="F14" i="176"/>
  <c r="J13" i="176"/>
  <c r="I13" i="176"/>
  <c r="H13" i="176"/>
  <c r="G13" i="176"/>
  <c r="F13" i="176"/>
  <c r="J12" i="176"/>
  <c r="I12" i="176"/>
  <c r="H12" i="176"/>
  <c r="G12" i="176"/>
  <c r="F12" i="176"/>
  <c r="J11" i="176"/>
  <c r="I11" i="176"/>
  <c r="H11" i="176"/>
  <c r="G11" i="176"/>
  <c r="F11" i="176"/>
  <c r="J10" i="176"/>
  <c r="I10" i="176"/>
  <c r="H10" i="176"/>
  <c r="G10" i="176"/>
  <c r="F10" i="176"/>
  <c r="J9" i="176"/>
  <c r="I9" i="176"/>
  <c r="H9" i="176"/>
  <c r="G9" i="176"/>
  <c r="F9" i="176"/>
  <c r="J8" i="176"/>
  <c r="I8" i="176"/>
  <c r="H8" i="176"/>
  <c r="G8" i="176"/>
  <c r="F8" i="176"/>
  <c r="F9" i="175"/>
  <c r="D9" i="175"/>
  <c r="C9" i="175"/>
  <c r="B9" i="175"/>
</calcChain>
</file>

<file path=xl/comments1.xml><?xml version="1.0" encoding="utf-8"?>
<comments xmlns="http://schemas.openxmlformats.org/spreadsheetml/2006/main">
  <authors>
    <author>Nnn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04"/>
          </rPr>
          <t>Nnn:</t>
        </r>
        <r>
          <rPr>
            <sz val="8"/>
            <color indexed="81"/>
            <rFont val="Tahoma"/>
            <family val="2"/>
            <charset val="204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  <charset val="204"/>
          </rPr>
          <t>Nnn:</t>
        </r>
        <r>
          <rPr>
            <sz val="8"/>
            <color indexed="81"/>
            <rFont val="Tahoma"/>
            <family val="2"/>
            <charset val="204"/>
          </rPr>
          <t xml:space="preserve">
5 тыс.руб - бумага, и 75
 рублей на одну семью состоящюю в очереди (одно личное учетное дело)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32" authorId="0" shapeId="0">
      <text>
        <r>
          <rPr>
            <b/>
            <sz val="8"/>
            <color indexed="81"/>
            <rFont val="Tahoma"/>
            <family val="2"/>
            <charset val="204"/>
          </rPr>
          <t>+6 УКП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  <charset val="204"/>
          </rPr>
          <t>+20 инд.об.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+18 инд.об.
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+3 инд.обуч.
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  <charset val="204"/>
          </rPr>
          <t>+1 инд.об.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  <charset val="204"/>
          </rPr>
          <t>+7 инд.об.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  <charset val="204"/>
          </rPr>
          <t>+9 инд.об.</t>
        </r>
      </text>
    </comment>
    <comment ref="K55" authorId="0" shapeId="0">
      <text>
        <r>
          <rPr>
            <b/>
            <sz val="8"/>
            <color indexed="81"/>
            <rFont val="Tahoma"/>
            <family val="2"/>
            <charset val="204"/>
          </rPr>
          <t>+15 УКП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  <charset val="204"/>
          </rPr>
          <t>+23 УКП</t>
        </r>
      </text>
    </comment>
  </commentList>
</comments>
</file>

<file path=xl/sharedStrings.xml><?xml version="1.0" encoding="utf-8"?>
<sst xmlns="http://schemas.openxmlformats.org/spreadsheetml/2006/main" count="1708" uniqueCount="753">
  <si>
    <t>Вид расходов</t>
  </si>
  <si>
    <t>Наименование муниципального образования</t>
  </si>
  <si>
    <t>РАСЧЕТ</t>
  </si>
  <si>
    <t>Город Магадан</t>
  </si>
  <si>
    <t>Всего:</t>
  </si>
  <si>
    <t>в том числе:</t>
  </si>
  <si>
    <t>г. Магадан</t>
  </si>
  <si>
    <t>ИТОГО:</t>
  </si>
  <si>
    <t>ВСЕГО</t>
  </si>
  <si>
    <t>Количество несовершеннолетних детей</t>
  </si>
  <si>
    <t>Численность специалистов комиссии, всего</t>
  </si>
  <si>
    <t xml:space="preserve">главный специалист </t>
  </si>
  <si>
    <t xml:space="preserve">ведущий специалист </t>
  </si>
  <si>
    <t>заведующий сектором</t>
  </si>
  <si>
    <t>заведующий сектор-заместитель председателя комиссии</t>
  </si>
  <si>
    <t>тыс. рублей</t>
  </si>
  <si>
    <t>г.Магадан</t>
  </si>
  <si>
    <t>Итого:</t>
  </si>
  <si>
    <t>H</t>
  </si>
  <si>
    <t>G</t>
  </si>
  <si>
    <t>C</t>
  </si>
  <si>
    <t>Q</t>
  </si>
  <si>
    <t>P</t>
  </si>
  <si>
    <t>M</t>
  </si>
  <si>
    <t>Наименование районов</t>
  </si>
  <si>
    <t>Наименование должности</t>
  </si>
  <si>
    <t>N</t>
  </si>
  <si>
    <t>K1</t>
  </si>
  <si>
    <t>K2</t>
  </si>
  <si>
    <t>Итого</t>
  </si>
  <si>
    <t>K</t>
  </si>
  <si>
    <t>R</t>
  </si>
  <si>
    <t>размер должност-ного оклада (руб.)</t>
  </si>
  <si>
    <t xml:space="preserve">ежемесяч-ные и иные дополни-тельные выплаты </t>
  </si>
  <si>
    <t>размер р/коэф. и % надбавки (руб.)</t>
  </si>
  <si>
    <t>числен-ность специа-листов                                                            (чел.)</t>
  </si>
  <si>
    <t>в месяц</t>
  </si>
  <si>
    <t>ФОТ на 12 месяцев</t>
  </si>
  <si>
    <t>размер страховых взносов</t>
  </si>
  <si>
    <t>КОСГУ 221</t>
  </si>
  <si>
    <t>КОСГУ 225</t>
  </si>
  <si>
    <t>КОСГУ 226</t>
  </si>
  <si>
    <t>Начальник отдела</t>
  </si>
  <si>
    <t>Зам. начальника</t>
  </si>
  <si>
    <t>Главный специалист</t>
  </si>
  <si>
    <t>Ведущий специалист</t>
  </si>
  <si>
    <t>Специалист I кат.</t>
  </si>
  <si>
    <t>Водитель</t>
  </si>
  <si>
    <t>Консультант</t>
  </si>
  <si>
    <t xml:space="preserve">Расчет </t>
  </si>
  <si>
    <t>тыс. руб.</t>
  </si>
  <si>
    <t xml:space="preserve">РАСЧЕТ </t>
  </si>
  <si>
    <t>всего</t>
  </si>
  <si>
    <t>Расчет</t>
  </si>
  <si>
    <t>Среднеканский городской  округ</t>
  </si>
  <si>
    <t>Омсукчанский городской округ</t>
  </si>
  <si>
    <t>Омсукчанский  городской  округ</t>
  </si>
  <si>
    <t>Среднеканский городской округ</t>
  </si>
  <si>
    <t>Ольский городской округ</t>
  </si>
  <si>
    <t>Количество дней в одну смену (n)</t>
  </si>
  <si>
    <t>Северо-Эвенский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</si>
  <si>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</si>
  <si>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</si>
  <si>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</si>
  <si>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</si>
  <si>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Стоимость питания одного дня пребывания, руб. (с)</t>
  </si>
  <si>
    <t>Стоимость медикаментов в день, руб. (m)</t>
  </si>
  <si>
    <t>2-х разовое питание</t>
  </si>
  <si>
    <t>3-х разовое питание</t>
  </si>
  <si>
    <t>Размер стоимости страхования, руб. (s)</t>
  </si>
  <si>
    <t>Стоимость культурно-массовых и спортивных мероприятий в день, руб. (t)</t>
  </si>
  <si>
    <t>1. Объем субсидии из областного бюджета бюджетам муниципальных образований на организацию отдыха детей в каникулярное время (S1):</t>
  </si>
  <si>
    <t>Количество педагогических работников лагерей с дневным пребыванием, чел. (k)</t>
  </si>
  <si>
    <t>Ежемесячный размер оплаты труда за счет средств местного бюджета муниципального образования на оплату труда педагогическим работникам лагерей с дневным пребыванием детей, руб. (n)</t>
  </si>
  <si>
    <t>Общий объем субсидий, предоставляемых бюджетам муниципальных образований в текущем году (Si)</t>
  </si>
  <si>
    <t>Объем средств, необходимый  i-му муниципальному образованию по заявке (Q)</t>
  </si>
  <si>
    <t>ФОТ</t>
  </si>
  <si>
    <t>ФМО</t>
  </si>
  <si>
    <t>СОШ п. Дукат</t>
  </si>
  <si>
    <t>СОШ п. Омчак</t>
  </si>
  <si>
    <t>СОШ п. Талая</t>
  </si>
  <si>
    <t>СОШ п. Дебин</t>
  </si>
  <si>
    <t>Количество обучающихся в муниципальных образовательных организациях, расположенных в городской местности, чел. (Kri)</t>
  </si>
  <si>
    <t>Количество обучающихся муниципальных образовательных организаций, расположенных в сельской местности, чел. (Kci)</t>
  </si>
  <si>
    <t>Наполняемость в классе не менее наполняемости, установленной для образовательных организаций в соответствии с порядком организации и осуществления образовательной деятельности по соответствующим образовательным программам, чел. (H)</t>
  </si>
  <si>
    <t>Наполняемость в классе 14 и более человек в образовательных организациях, расположенных в сельской местности, чел. (M)</t>
  </si>
  <si>
    <t>Коэффициент, учитывающий размер отчислений по страховым взносам на обязательное пенсионное страхование, на обязательное медицинское 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(k2)</t>
  </si>
  <si>
    <t>Количество месяцев в году, (12)</t>
  </si>
  <si>
    <t>Численность педагогических работников муниципальных дошокльных образовательных организаций, муниципальных организаций дополнительного образования, муниципальных общеобразовательных организаций муниципального образования, чел. (Ni)</t>
  </si>
  <si>
    <t>Коэффициент, учитывающий районный коэффициент и процентные надбавки к заработной плате за работу в районах Крайнего Севера, (k)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</si>
  <si>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(t)</t>
  </si>
  <si>
    <t>Доплата в размере 1047 рублей, тыс. руб. ®</t>
  </si>
  <si>
    <t>Ягоднинский гордской округ</t>
  </si>
  <si>
    <t>Численность учащихся, охваченных горячим питанием, чел. (n1, n2)</t>
  </si>
  <si>
    <t>Размер ср-в на обесп-е пит. на 1-го уч-ся, руб. (p1, p2)</t>
  </si>
  <si>
    <t xml:space="preserve">всего  </t>
  </si>
  <si>
    <t>в 1-4 кл (n1)</t>
  </si>
  <si>
    <t>в 5-11 кл (n2)</t>
  </si>
  <si>
    <t>в 1-4 кл (p1)</t>
  </si>
  <si>
    <t>в 5-11 кл (p2)</t>
  </si>
  <si>
    <t>МКОУ "СОШ п. Ола"</t>
  </si>
  <si>
    <t>МКОУ "СОШ п. Армань"</t>
  </si>
  <si>
    <t>МКОУ "СОШ с. Клепка"</t>
  </si>
  <si>
    <t>МКОУ "СОШ с. Тауйск"</t>
  </si>
  <si>
    <t>МКОУ "ООШ с. Талон"</t>
  </si>
  <si>
    <t>МКОУ "ООШ с. Тахтоямск"</t>
  </si>
  <si>
    <t>МКОУ "Н/ш - Д/С с. Гадля"</t>
  </si>
  <si>
    <t>МКОУ "Н/Ш - Д/С с. Балаганное"</t>
  </si>
  <si>
    <t>МКОУ "НОШ с. Ямск"</t>
  </si>
  <si>
    <t>СОШ п. Омсукчан</t>
  </si>
  <si>
    <t>ООШ п. Омсукчан</t>
  </si>
  <si>
    <t>МБОШИ п. Эвенск</t>
  </si>
  <si>
    <t>МКОУ " СОШ с. Гижига"</t>
  </si>
  <si>
    <t>МКОУ "Н/Ш-Д/С с. Гарманда"</t>
  </si>
  <si>
    <t>МКОУ "Н/Ш-Д/С с. Тополовка"</t>
  </si>
  <si>
    <t>МКОУ "Н/Ш-Д/С с. В. Парень"</t>
  </si>
  <si>
    <t>СОШ п. Сеймчан</t>
  </si>
  <si>
    <t>СОШ с. В.Сеймчан</t>
  </si>
  <si>
    <t>МБОУ "Лицей г. Сусуман"</t>
  </si>
  <si>
    <t>МБОУ "СОШ № 1 г. Сусуман"</t>
  </si>
  <si>
    <t>МБОУ "НОШ г.Сусуман"</t>
  </si>
  <si>
    <t>МБОУ "ООШ п. Холодный"</t>
  </si>
  <si>
    <t>МБОУ "ООШ п. Мяунджа"</t>
  </si>
  <si>
    <t>СОШ п. Усть-Омчуг</t>
  </si>
  <si>
    <t>СОШ № 1</t>
  </si>
  <si>
    <t>СОШ № 2</t>
  </si>
  <si>
    <t>СОШ п. Стекольный</t>
  </si>
  <si>
    <t>СОШ п. Ягодное</t>
  </si>
  <si>
    <t>НОШ п. Ягодное</t>
  </si>
  <si>
    <t>СОШ п. Синегорье</t>
  </si>
  <si>
    <t>СОШ п. Оротукан</t>
  </si>
  <si>
    <t>Уровень софинансироования i-го муниципального образования (Qi)</t>
  </si>
  <si>
    <t>Общий объем уровня софинансирования муниципальными образованиями (Oi)</t>
  </si>
  <si>
    <t>Общий объем средств, необходимый муниципальным образованиям по заявке(O)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</si>
  <si>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 (S)</t>
  </si>
  <si>
    <t>Дополнительные выплаты работникам муниципальных образовательных организаций</t>
  </si>
  <si>
    <t>Числ-ть работников всего</t>
  </si>
  <si>
    <t>в том числе</t>
  </si>
  <si>
    <t>S1i = p * Ni</t>
  </si>
  <si>
    <t>Ni</t>
  </si>
  <si>
    <t>p</t>
  </si>
  <si>
    <t>Единовременное пособие при выходе на пенсию</t>
  </si>
  <si>
    <t>S2i = r * Ni * t</t>
  </si>
  <si>
    <t xml:space="preserve">r </t>
  </si>
  <si>
    <t>t</t>
  </si>
  <si>
    <t>Единовременное пособие молодому специалисту при заключении трудового договора с муниципальной образовательной организацией</t>
  </si>
  <si>
    <t>S3i = ((q1 * Ni1 * k) + (q2 * Ni2 * k) + (q3 * Ni3 * k)) * t *12</t>
  </si>
  <si>
    <t>N1, N2, N3</t>
  </si>
  <si>
    <t>q1, q2, q3</t>
  </si>
  <si>
    <t>k</t>
  </si>
  <si>
    <t>Ежемесячная доплата за соответствующую квалификационную категорию:</t>
  </si>
  <si>
    <t>- высшую</t>
  </si>
  <si>
    <t>- первую</t>
  </si>
  <si>
    <t>S4i = h * Ni * k * t * 12</t>
  </si>
  <si>
    <t>h</t>
  </si>
  <si>
    <t>Ежемесячная доплата педагогическим работникам, имеющим звание «Почетный работник образования Магаданской области»</t>
  </si>
  <si>
    <t>S5i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</si>
  <si>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с отличием (до получения квал.кат.,но не более первых 3 лет работы)</t>
  </si>
  <si>
    <t>S6i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</si>
  <si>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(до получения квал.кат.,но не более первых 3 лет работы)</t>
  </si>
  <si>
    <t>S7i = ((h1 * Ni1 * k) + (h2 * Ni2 * k)) * t * 12</t>
  </si>
  <si>
    <t>Ni1, Ni1</t>
  </si>
  <si>
    <t>h1, h1</t>
  </si>
  <si>
    <t>Ежемесячная доплата лицам,  в образовательной организации, удаленной от административного центра Магаданской области, замещающим должность:</t>
  </si>
  <si>
    <t>- библиотекарь</t>
  </si>
  <si>
    <t xml:space="preserve">- заведующий библиотекой </t>
  </si>
  <si>
    <t>S8i = ((h1 * Ni1 * k) + (h2 * Ni2 * k) + (h3 * Ni3 * k)) * t * 12</t>
  </si>
  <si>
    <t>Ni1, Ni2, Ni3</t>
  </si>
  <si>
    <t>h1, h2, h3</t>
  </si>
  <si>
    <t>- младшего медицинского персонала</t>
  </si>
  <si>
    <t>- среднего медицинского персонала</t>
  </si>
  <si>
    <t>- врачебного персонала</t>
  </si>
  <si>
    <t>Коэффициент, устанавливающий ежемесячные и иные дополнительные выплаты, установленные в соответствии с законодательством Российской Федерации, законодательством Магаданской области и нормативными правовыми актами органов местного самоуправления для муниципальных служащих, а также размер районного коэффициента и процентной надбавки к заработной плате работников организаций, расположенных на территории Магаданской области, (К)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</si>
  <si>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(К1)</t>
  </si>
  <si>
    <t>Расходы на оплату коммунальных услуг с учетом площади занимаемого учреждения, (V)</t>
  </si>
  <si>
    <t xml:space="preserve">Услуги на содержание имущества, (В)                  </t>
  </si>
  <si>
    <t>Оплата услуг связи, исходя из абоненской платы в месяц и дополнительных ежемесячных затрат на междугородние переговоры, (С)</t>
  </si>
  <si>
    <t>Объем средств на оплату прочих расходов, (М)</t>
  </si>
  <si>
    <t>Объем средств на приобретение материальных запасов, полученный расчетным путем с учетом количества специалистов, (Р)</t>
  </si>
  <si>
    <t>Расходы на предоставление работникам гарантий и компенсаций, установленных статьями 168 и 325 Трудового кодекса Российской Федерации, (G)</t>
  </si>
  <si>
    <t>2019 год</t>
  </si>
  <si>
    <t>Размер субвенции, предоставляемой бюджету i-го муниципального образования на 2019 год (Cpi)</t>
  </si>
  <si>
    <t>ИТОГО</t>
  </si>
  <si>
    <t>Уровень софинансирования i-го муниципального образования (Qi)</t>
  </si>
  <si>
    <t>Субсидии из областного бюджета, предоставляемые бюджету муниципального образования (S), 2019 год</t>
  </si>
  <si>
    <t>Примечание: в данной субсидии учитывается численность только тех обучающихся, которые охваченны горячим питанием.</t>
  </si>
  <si>
    <t>Количество учебных дней в году, дн. (d)</t>
  </si>
  <si>
    <t>Объем субсидии i-го муниципального образования на совершенствование питаия учащихся в общеобразовательных организациях в 2019 год, тыс. руб. (S)</t>
  </si>
  <si>
    <t>Наименование городского округа</t>
  </si>
  <si>
    <t>Общий объем субсидий, предоставляемых бюджетам  муниципальных образований в текущем году  (Si)</t>
  </si>
  <si>
    <t>Объем средств, необходимый i-му муниципальному образованию по заявке (Q)</t>
  </si>
  <si>
    <t>Уровень софинансирования i-го муниципального образования (Qi)*</t>
  </si>
  <si>
    <t>Общий объем средств, необходимый муниципальным образованиям по заявке (О)</t>
  </si>
  <si>
    <t>Общий объем уровня софинансирования муниципальными образованиями (Оi)</t>
  </si>
  <si>
    <t>* - предварительный объем софинансирования</t>
  </si>
  <si>
    <t>Объем субсидии из областного бюджета, предоставляемой бюджету  i-го муниципального образования  (S), 2019 год</t>
  </si>
  <si>
    <t>Муниципальные образования</t>
  </si>
  <si>
    <t>Численность граждан, имеющих право на получение мер социальной поддержки по оплате жилья и коммунальных услуг  (чел.) (Ч)</t>
  </si>
  <si>
    <t>Площадь жилья, занимаемая получателем  мер социальной поддержке по j-му муниципальному образованию Магаданской области (Hsr)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</si>
  <si>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 (Cj)</t>
  </si>
  <si>
    <t>Количество месяцев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</si>
  <si>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2019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</si>
  <si>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2020 году</t>
  </si>
  <si>
    <t>Субсидии из областного бюджета, предоставляемые бюджету муниципального образования (S), 2020 год</t>
  </si>
  <si>
    <t>2020 год</t>
  </si>
  <si>
    <t>Объем субсидии из областного бюджета, предоставляемой бюджету  i-го муниципального образования  (S), 2020 год</t>
  </si>
  <si>
    <t>Размер субвенции, предоставляемой бюджету i-го муниципального образования на 2020 год (Cpi)</t>
  </si>
  <si>
    <t>Количество воспитанников, чел.</t>
  </si>
  <si>
    <t>Норматив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одного воспитанника, тыс. рублей</t>
  </si>
  <si>
    <t>Размер субвенции, предоставляемой бюджету I-го муниципального образования на 2018 год</t>
  </si>
  <si>
    <t>Размер субвенции, предоставляемой бюджету I-го муниципального образования на 2019 год</t>
  </si>
  <si>
    <t>Размер субвенции, предоставляемой бюджету I-го муниципального образования на 2020 год</t>
  </si>
  <si>
    <t>дошкольная группа общеразвивающей и комбинированной направленносим</t>
  </si>
  <si>
    <t>дошкольная группа компенсирующей и оздоровительной направленносим</t>
  </si>
  <si>
    <t>Средняя величина в год</t>
  </si>
  <si>
    <t xml:space="preserve">Средняя величина в год </t>
  </si>
  <si>
    <t>Ольский городской округ,</t>
  </si>
  <si>
    <t>Сусуманский  городской округ</t>
  </si>
  <si>
    <t xml:space="preserve">Тенькинский городской округ, </t>
  </si>
  <si>
    <t>субвенций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</si>
  <si>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х</t>
  </si>
  <si>
    <t>Количество обучающихся, воспитанников, чел.</t>
  </si>
  <si>
    <t>общеобразовательная школа</t>
  </si>
  <si>
    <t>лицей, гимназия, школа с углубленным изучением отдельных предметов</t>
  </si>
  <si>
    <t>общеобразовательная школа с дистанционным обучением</t>
  </si>
  <si>
    <t>открытая (сменная) общеобразовательная школа</t>
  </si>
  <si>
    <t>начальная школа - детский сад</t>
  </si>
  <si>
    <t>Норматив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одного обучающегося, воспитанника</t>
  </si>
  <si>
    <t>общеобразовательная школа-интернат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</si>
  <si>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</si>
  <si>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Объем субвенции (Si), 2020 год</t>
  </si>
  <si>
    <t>норма предоставления жилья, кв.м.</t>
  </si>
  <si>
    <t xml:space="preserve">субсидий бюджетам городских округов на организацию отдыха и оздоровление детей в лагерях дневного пребывания 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</si>
  <si>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2019 год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</si>
  <si>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2020 год</t>
  </si>
  <si>
    <t>Нераспределенный остаток</t>
  </si>
  <si>
    <t>Среднемессячная зарплата педагогических работников лагерей с дневным пребыванием, руб.(m)</t>
  </si>
  <si>
    <t>Страховые взносы, руб.</t>
  </si>
  <si>
    <t>Соцстрах</t>
  </si>
  <si>
    <t>Зарплата</t>
  </si>
  <si>
    <t>613  .  0701  .  02Б0274120  .  530</t>
  </si>
  <si>
    <t>005201</t>
  </si>
  <si>
    <t>005204</t>
  </si>
  <si>
    <t>613   10  04    02 7 01 R0820   530   251   18-780</t>
  </si>
  <si>
    <t>613   10  06    02 Б 02 74090   530   251</t>
  </si>
  <si>
    <t>613   07  09    02 Б 02 75010   540   251</t>
  </si>
  <si>
    <t>Исполнено 2017</t>
  </si>
  <si>
    <t>Отклонение плана 2018 от исполнения 2017 г.</t>
  </si>
  <si>
    <t>Отклонение плана 2018 от плана 2017 г.</t>
  </si>
  <si>
    <t>План 2017</t>
  </si>
  <si>
    <t>свыше 10000</t>
  </si>
  <si>
    <t>от 1400 до 5000</t>
  </si>
  <si>
    <t>до 800 человек</t>
  </si>
  <si>
    <t>до 800</t>
  </si>
  <si>
    <t>от 800 до 1400 человек</t>
  </si>
  <si>
    <t>Сумма окладов</t>
  </si>
  <si>
    <t>Суммы окладов</t>
  </si>
  <si>
    <t>Доп.код 005207</t>
  </si>
  <si>
    <t>КОСГУ 212</t>
  </si>
  <si>
    <t>Доп.код 005220 всего:</t>
  </si>
  <si>
    <t>численность детей-сирот, чел., (Z)</t>
  </si>
  <si>
    <t>расчетная норма жилья, кв.м., (Н)</t>
  </si>
  <si>
    <t>стоимость 1 кв.м., тыс.руб., (С)</t>
  </si>
  <si>
    <t xml:space="preserve">Размер ежемесячного вознаграждения за классное руководиство в классе с наполняемостью не менее наполняемости, установленной для образовательных организаций порядком организации и осуществелния образовательной деятельности по соответствующим образовательным программам, либо в классе с нанаполняемостью 14 и более человек в образовательных организациях, расположенных в сельской местности, руб. </t>
  </si>
  <si>
    <t>Объем субвенции (Si), 2021 год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</si>
  <si>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2021 году</t>
  </si>
  <si>
    <t>Объем субвенции муниципальному образованию 2019 год</t>
  </si>
  <si>
    <t xml:space="preserve">Vнi  2019 год </t>
  </si>
  <si>
    <t>Объем субвенции (Si), 2019 год</t>
  </si>
  <si>
    <t>ФОТ с начисл-ми в год (руб.)</t>
  </si>
  <si>
    <t>Объем субвенции муниципальному образованию 2020 год</t>
  </si>
  <si>
    <t>Объем субвенции муниципальному образованию 2021 год</t>
  </si>
  <si>
    <t>Объем субсидии i-го муниципального образования на совершенствование питаия учащихся в общеобразовательных организациях в 2021 год, тыс. руб. (S)</t>
  </si>
  <si>
    <t>Объем субсидии i-го муниципального образования на совершенствование питаия учащихся в общеобразовательных организациях в 2020 год, тыс. руб. (S)</t>
  </si>
  <si>
    <t>Размер субвенции, предоставляемой бюджету i-го муниципального образования на 2021 год (Cpi)</t>
  </si>
  <si>
    <t xml:space="preserve">Vнi  2020 год </t>
  </si>
  <si>
    <t xml:space="preserve">Vнi  2021 год </t>
  </si>
  <si>
    <t>Категория детей</t>
  </si>
  <si>
    <t>Средний размер родительской платы, установленный в Магаданской области в 2016 году (группы оздоровительной направленности), руб.</t>
  </si>
  <si>
    <t xml:space="preserve">Численность, чел. </t>
  </si>
  <si>
    <t>Расходы за присмотр и уход в муниципальных дошкольных образовательных организациях, тыс руб</t>
  </si>
  <si>
    <t xml:space="preserve"> детей-инвалидов</t>
  </si>
  <si>
    <t>детей-сирот и детей, оставшихся без попечения родителей</t>
  </si>
  <si>
    <t>детей с туберкулезной интоксикацией</t>
  </si>
  <si>
    <t>за  детьми-инвалидами</t>
  </si>
  <si>
    <t>детьми-сиротами и детьми, оставшимися без попечения родителей</t>
  </si>
  <si>
    <t>Всего</t>
  </si>
  <si>
    <t>7 = 2*3*4</t>
  </si>
  <si>
    <t>8 = 2*4*5</t>
  </si>
  <si>
    <t>9 = 2*3*6</t>
  </si>
  <si>
    <t>10 = 7+8+9</t>
  </si>
  <si>
    <t>11 = 10 х 0,5</t>
  </si>
  <si>
    <t>от 1 до 3 лет</t>
  </si>
  <si>
    <t>от 3 до 7 лет</t>
  </si>
  <si>
    <t>Итого г. Магадан</t>
  </si>
  <si>
    <t>Ольский район</t>
  </si>
  <si>
    <t>Омсукчанский район</t>
  </si>
  <si>
    <t>Северо-Эвенский район</t>
  </si>
  <si>
    <t>Среднеканский район</t>
  </si>
  <si>
    <t>Сусуманский район</t>
  </si>
  <si>
    <t>Тенькинский район</t>
  </si>
  <si>
    <t>Хасынский район</t>
  </si>
  <si>
    <t>Ягоднинский район</t>
  </si>
  <si>
    <t>Объем субсидий областного бюджета в 2019 г. (коэфф. софинансир. ОБ = 0,5)</t>
  </si>
  <si>
    <t>Объем субсидий областного бюджета в 2020 г. (коэфф. софинансир. ОБ = 0,5)</t>
  </si>
  <si>
    <t>Объем субсидий областного бюджета в 2021 г. (коэфф. софинансир. ОБ = 0,5)</t>
  </si>
  <si>
    <t>Субсидии из областного бюджета, предоставляемые бюджету муниципального образования (S), 2021 год</t>
  </si>
  <si>
    <t>Количество дней в одну смену (n1)</t>
  </si>
  <si>
    <t>малокомплектные школы</t>
  </si>
  <si>
    <t>Наименование образовательной организации в разрезе муниципальных образований</t>
  </si>
  <si>
    <t>Средняя величина в год, тыс. руб.</t>
  </si>
  <si>
    <t>МКОУ "СОШ п. Тауйск"</t>
  </si>
  <si>
    <t>МКОУ "Начальная школа - детский сад с. Балаганное"</t>
  </si>
  <si>
    <t>МКОУ "Начальная школа - детский сад с. Гадля"</t>
  </si>
  <si>
    <t>МБОУ "СОШ п. Дукат"</t>
  </si>
  <si>
    <t>МКОУ "СОШ им. В.А. Лягушина с. Гижига"</t>
  </si>
  <si>
    <t>МКОУ "Начальная школа - детский сад с. Тополовка"</t>
  </si>
  <si>
    <t>МКОУ "Начальная школа - детский сад с. Верхний Парень"</t>
  </si>
  <si>
    <t>МКОУ "Начальная школа - детский сад с. Гарманда"</t>
  </si>
  <si>
    <t>МКОУ "СОШ с. Верхний Сеймчан"</t>
  </si>
  <si>
    <t>МБОУ "СОШ п. Омчак"</t>
  </si>
  <si>
    <t>МБОУ "СОШ" п. Талая</t>
  </si>
  <si>
    <t>МБОУ "СОШ п. Дебин"</t>
  </si>
  <si>
    <t>Нормативы на обеспечение госудаственных гарантий реализации прав на получение обещедоступного и бусплатного дошкольного, начального общего, основного общего, среднего общего образования в муниципальных общеобразовательных организациях, обеспчеение дополнительного образования детей в муниципальных общеобразовательных организациях для малокомплектных образовательных организаций на 2018 год</t>
  </si>
  <si>
    <t>005220</t>
  </si>
  <si>
    <t>005204 ставка 29,9</t>
  </si>
  <si>
    <t>субвенций бюджетам городских округов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</t>
  </si>
  <si>
    <t>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</si>
  <si>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</si>
  <si>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субвенций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</si>
  <si>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</si>
  <si>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Численность детей, чел. (k) - 21 день</t>
  </si>
  <si>
    <t>Численность детей, чел. (k) - 15 дней</t>
  </si>
  <si>
    <t>2021 год</t>
  </si>
  <si>
    <t>Расходы на оплату путевок в лагерях с дневным пребыванием за счет средств областного бюджета, тыс. руб. (D)</t>
  </si>
  <si>
    <t>Процент софинансирования за счет местных бюджетов, %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</si>
  <si>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2021 год</t>
  </si>
  <si>
    <t>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(S2), тыс.руб.</t>
  </si>
  <si>
    <t>Объем субсидии из областного бюджета бюджетам муниципальных образований на материально-техническое обеспечение ЛОЛ (национальные лагеря), тыс.руб.</t>
  </si>
  <si>
    <t>4. Общий объем субсидии бюджетам муниципальных образований на организацию отдыха и оздоровление детей в лагерях дневного пребывания</t>
  </si>
  <si>
    <t>3. 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(S3):</t>
  </si>
  <si>
    <t>2. Объем субсидии из областного бюджета бюджетам муниципальных образований на материально-техническое обеспечение ЛОЛ (национальные лагеря) (S2):</t>
  </si>
  <si>
    <t>Численность воспитанников</t>
  </si>
  <si>
    <t>Расходы по нормативу фонда заработной платы (ФОТ)</t>
  </si>
  <si>
    <t>Размер норматива на одного воспитанника в г.Магадане</t>
  </si>
  <si>
    <t>Размер норматива на одного воспитанника в Северо-Эвенском городском округе (1,08)</t>
  </si>
  <si>
    <t>Расходы по нормативу фонда заработной платы</t>
  </si>
  <si>
    <t>Расходы по нормативу фонда материального обеспечения (ФМО)</t>
  </si>
  <si>
    <t xml:space="preserve">Размер норматива на одного воспитанника в Северо-Эвенском городском округе   </t>
  </si>
  <si>
    <t>Расходы по нормативу фонда материального обеспечения</t>
  </si>
  <si>
    <t>Расходы по нормативу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</si>
  <si>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Размер норматива на одного воспитанника в Северо-Эвенском городском округе</t>
  </si>
  <si>
    <t xml:space="preserve">Расходы по нормативу </t>
  </si>
  <si>
    <t>Сумма для муниципальных дошкольных образовательных организаций</t>
  </si>
  <si>
    <t>Сумма для муниципальных дошкольных образовательных организаций, расположенных в сельских населенных пунктах</t>
  </si>
  <si>
    <t>Общеобразовательные школы</t>
  </si>
  <si>
    <t>Открытая (сменная) общеобразовательная школа</t>
  </si>
  <si>
    <t>Начальные школы - детские сады</t>
  </si>
  <si>
    <t>Лицеи, гимназии, школы с углубленным изучением отдельных предметов</t>
  </si>
  <si>
    <t>Общеобразовательная школа с дистанционным обучением</t>
  </si>
  <si>
    <t>Общеобразовательная школа-интернат</t>
  </si>
  <si>
    <t>Общеобразовательная школа, имеющая более 50% классов для обучающихся с ограниченными возможностями здоровья</t>
  </si>
  <si>
    <t>Численность обучающихся, воспитанников</t>
  </si>
  <si>
    <t>Размер норматива на одного обучающегося, воспитанника в г.Магадане</t>
  </si>
  <si>
    <t>Размер норматива на одного обучающегося, воспитанника в  городских округах</t>
  </si>
  <si>
    <t>Расходы по нормативу всего (ФОТ+ФМО)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</si>
  <si>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</t>
  </si>
  <si>
    <t>Всего на 2019 год, тыс. рублей</t>
  </si>
  <si>
    <t>Малокомплектная школа</t>
  </si>
  <si>
    <t>КОСГУ 310, 340</t>
  </si>
  <si>
    <t>Размер норматива на одного воспитанника в городских округах</t>
  </si>
  <si>
    <t>Размер норматива на одного воспитанника в городских округах, кроме Северо-Эвенского городского округа</t>
  </si>
  <si>
    <t>субвенций бюджетам городскиз округов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</si>
  <si>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Группы компенсирующей и оздоровительной направленности , чел.</t>
  </si>
  <si>
    <t>Группы общеразвивающей и комбинированной направленности, чел.</t>
  </si>
  <si>
    <t>Итого, чел.</t>
  </si>
  <si>
    <t>Всего на 2019 год</t>
  </si>
  <si>
    <t>Всего на 2020 год</t>
  </si>
  <si>
    <t>Всего на 2021 год</t>
  </si>
  <si>
    <t>Всего на 2020 год, тыс. рублей</t>
  </si>
  <si>
    <t>Всего на 2021 год, тыс. рублей</t>
  </si>
  <si>
    <t>Всего на 2021</t>
  </si>
  <si>
    <t>ДОУ</t>
  </si>
  <si>
    <t>УДО</t>
  </si>
  <si>
    <t>ОУ</t>
  </si>
  <si>
    <t>РК и СН</t>
  </si>
  <si>
    <t>Страховые взносы</t>
  </si>
  <si>
    <t>Размер доплаты, руб.</t>
  </si>
  <si>
    <r>
      <t xml:space="preserve">Всего на 2019 год </t>
    </r>
    <r>
      <rPr>
        <sz val="14"/>
        <rFont val="Times New Roman"/>
        <family val="1"/>
        <charset val="204"/>
      </rPr>
      <t>005201</t>
    </r>
  </si>
  <si>
    <r>
      <t xml:space="preserve">Всего на 2019 год </t>
    </r>
    <r>
      <rPr>
        <sz val="14"/>
        <rFont val="Times New Roman"/>
        <family val="1"/>
        <charset val="204"/>
      </rPr>
      <t>005204</t>
    </r>
  </si>
  <si>
    <r>
      <t xml:space="preserve">Всего на 2019 год </t>
    </r>
    <r>
      <rPr>
        <sz val="14"/>
        <rFont val="Times New Roman"/>
        <family val="1"/>
        <charset val="204"/>
      </rPr>
      <t>005207</t>
    </r>
  </si>
  <si>
    <r>
      <t xml:space="preserve">Всего на 2019 год </t>
    </r>
    <r>
      <rPr>
        <sz val="14"/>
        <rFont val="Times New Roman"/>
        <family val="1"/>
        <charset val="204"/>
      </rPr>
      <t>005220</t>
    </r>
  </si>
  <si>
    <t>Всего на 2019 год 005201</t>
  </si>
  <si>
    <t>Всего на 2019 год 005204</t>
  </si>
  <si>
    <t>Всего на 2019 год 005207</t>
  </si>
  <si>
    <t>Всего на 2019 год 005220</t>
  </si>
  <si>
    <t>поправочн. коэф. стоимости 1 кв.м. S жилья, (К1)</t>
  </si>
  <si>
    <t>Объем субвенций на 2019 год, (Vсубв.жил.)</t>
  </si>
  <si>
    <t>Объем субвенций на 2020 год, (Vсубв.жил.)</t>
  </si>
  <si>
    <t>Численность учащихся, чел.</t>
  </si>
  <si>
    <t>ОШ-1 на 2014-2015гг (без ОСОШ, УКП)</t>
  </si>
  <si>
    <t>отчет охваченных пит.</t>
  </si>
  <si>
    <t>Численность учащихся, охваченных горячим питанием, чел.</t>
  </si>
  <si>
    <t>Численность учащихся по предварительному комплектованию, чел.</t>
  </si>
  <si>
    <t>Средний % охвата гор.пит.</t>
  </si>
  <si>
    <t>Утверждено на 2015г (Действующие)</t>
  </si>
  <si>
    <t>Отклонение (+ избыток; - недостат.)</t>
  </si>
  <si>
    <t xml:space="preserve">Общий объем субсидии в 2017 году </t>
  </si>
  <si>
    <t xml:space="preserve">Общий объем субсидии в 2018 году </t>
  </si>
  <si>
    <t>в 1-4 кл</t>
  </si>
  <si>
    <t>в 5-11 кл</t>
  </si>
  <si>
    <t>СОШ п.Атка</t>
  </si>
  <si>
    <t>Н/ш-д/с п. Хасын</t>
  </si>
  <si>
    <t>Н/ш-д/с п. Бурхала</t>
  </si>
  <si>
    <t>Общий объем субсидий в 2017 году</t>
  </si>
  <si>
    <t xml:space="preserve">Общий объем субсидий в 2018 году </t>
  </si>
  <si>
    <t>Средний размер родительской платы, установленный в Магаданской области в 2017 году, руб.</t>
  </si>
  <si>
    <t>Количество дней посещения в 2018г</t>
  </si>
  <si>
    <t>Муниципальное образование «Ольский городской округ»</t>
  </si>
  <si>
    <t>Муниципальное образование «Город Магадан»</t>
  </si>
  <si>
    <t>Общий объем субсидий (С)</t>
  </si>
  <si>
    <t>Количество дружинников в муниципальном образовании</t>
  </si>
  <si>
    <t xml:space="preserve">Наименование получателя субсидий
из областного бюджета
</t>
  </si>
  <si>
    <t>(тыс.руб)</t>
  </si>
  <si>
    <t xml:space="preserve"> субсидий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«Обеспечение безопасности, профилактика правонарушений и противодействие незаконному обороту наркотических средств в Магаданской области» на 2018-2024 годы», утвержденной постановлением Правительства Магаданской области от 21 сентября 2017 г. № 829-пп </t>
  </si>
  <si>
    <t xml:space="preserve">Общий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попечительству, Voi 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</si>
  <si>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 над несовершеннолетними, Vнi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</si>
  <si>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 (далее - деятельность по опеке и попечительству совершеннолетних лиц), Vсi</t>
  </si>
  <si>
    <t>Наименование МО</t>
  </si>
  <si>
    <t>и осуществлению деятельности органов опеки и попечительства</t>
  </si>
  <si>
    <t>субвенций бюджетам городских округов на осуществление государственных полномочий по организации</t>
  </si>
  <si>
    <t xml:space="preserve">     ведущий специалист</t>
  </si>
  <si>
    <t xml:space="preserve">     главный специалист</t>
  </si>
  <si>
    <t xml:space="preserve">     консультант</t>
  </si>
  <si>
    <t>Vci</t>
  </si>
  <si>
    <t>Z</t>
  </si>
  <si>
    <t>Итого годовой объём субвенции (тыс. рублей) на 2021 год</t>
  </si>
  <si>
    <t>Итого годовой объём субвенции (тыс. рублей) на 2020 год</t>
  </si>
  <si>
    <t>Итого годовой объём субвенции (тыс. рублей) на 2019 год</t>
  </si>
  <si>
    <t>Итого годовой объём субвенции (рублей)</t>
  </si>
  <si>
    <t>Сумма средств, предусмотренная на приобретение основных средств (КОСГУ 310) и материальных запасов (КОСГУ 340)</t>
  </si>
  <si>
    <t>Сумма средств, предусмотренная на оплату прочих услуг (КОСГУ 226)</t>
  </si>
  <si>
    <t>Сумма средств, предусмотренная на оплату услуг по содержанию имущества (КОСГУ 225)</t>
  </si>
  <si>
    <t>Сумма средств, предусмотренная на оплату коммунальных услуг (КОСГУ 223)</t>
  </si>
  <si>
    <t>Сумма средств, предусмотренная на оплату услуг связи (КОСГУ 221)</t>
  </si>
  <si>
    <t>Сумма средств на предоставление работникам гарантий и компенсаций, установленных статьями 168 и 325 ТК РФ (КОСГУ 212, 222, 226)</t>
  </si>
  <si>
    <t>г.Магадан, в том числе</t>
  </si>
  <si>
    <t>К</t>
  </si>
  <si>
    <t>Н</t>
  </si>
  <si>
    <t xml:space="preserve"> Si</t>
  </si>
  <si>
    <r>
      <t>К</t>
    </r>
    <r>
      <rPr>
        <sz val="10"/>
        <rFont val="Calibri"/>
        <family val="2"/>
        <charset val="204"/>
      </rPr>
      <t>₂=(О+ОК₁)</t>
    </r>
  </si>
  <si>
    <r>
      <t>ОК</t>
    </r>
    <r>
      <rPr>
        <sz val="10"/>
        <rFont val="Calibri"/>
        <family val="2"/>
        <charset val="204"/>
      </rPr>
      <t>₁</t>
    </r>
  </si>
  <si>
    <t>О</t>
  </si>
  <si>
    <t>Si</t>
  </si>
  <si>
    <t>Расчет годового фонда зар.платы (руб.)</t>
  </si>
  <si>
    <r>
      <t xml:space="preserve">Сумма страховых взносов в Пенсионный фонд РФ на обязательное пенсионное страхование, ФФ ОМС, ТРФ ОМС, ФСС, страховые взносы на обязательное социальное страхование о несчастных случаев на производстве и несчастных заболеваний; </t>
    </r>
    <r>
      <rPr>
        <b/>
        <sz val="10"/>
        <rFont val="Times New Roman"/>
        <family val="1"/>
        <charset val="204"/>
      </rPr>
      <t>(30,2%) (КОСГУ 213)</t>
    </r>
  </si>
  <si>
    <t>Размер оплаты труда с учетом численности специалистов</t>
  </si>
  <si>
    <t>Размер оплаты труда с учетом размера занимаемой ставки</t>
  </si>
  <si>
    <t>Размер оплаты труда с учетом ежемесячных дополнительных выплат с учетом районного коэффициента  и процентной надбавки</t>
  </si>
  <si>
    <t>Сумма доплаты районного коэффициента  и процентной надбавки к заработной плате работников организаций, расположенных на территории Магаданской области</t>
  </si>
  <si>
    <r>
      <t xml:space="preserve">Сумма ежемесячных дополнительных выплат, установленных в соответствии с законодательством РФ и Магаданской области для </t>
    </r>
    <r>
      <rPr>
        <b/>
        <sz val="10"/>
        <rFont val="Times New Roman"/>
        <family val="1"/>
        <charset val="204"/>
      </rPr>
      <t xml:space="preserve">муниципальных </t>
    </r>
    <r>
      <rPr>
        <sz val="10"/>
        <rFont val="Times New Roman"/>
        <family val="1"/>
        <charset val="204"/>
      </rPr>
      <t>служащих (КОСГУ 211)</t>
    </r>
  </si>
  <si>
    <t xml:space="preserve">Размер  должностного оклада </t>
  </si>
  <si>
    <t>Размер ставки специалиста</t>
  </si>
  <si>
    <t>численность специа-листов                                                            (чел.)</t>
  </si>
  <si>
    <t>Расчет фонда оплаты труда с 01.10.2019г. (повышение на 4%)</t>
  </si>
  <si>
    <t>Расчет фонда оплаты труда с 01.01.2019г. до 01.10.2019г.</t>
  </si>
  <si>
    <r>
      <t>(</t>
    </r>
    <r>
      <rPr>
        <u/>
        <sz val="15"/>
        <rFont val="Times New Roman"/>
        <family val="1"/>
        <charset val="204"/>
      </rPr>
      <t>Министерство труда и социальной политики Магаданской области)</t>
    </r>
  </si>
  <si>
    <t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</t>
  </si>
  <si>
    <t>Расчет субвенций</t>
  </si>
  <si>
    <t xml:space="preserve"> 2021 год</t>
  </si>
  <si>
    <t xml:space="preserve"> 2020 год</t>
  </si>
  <si>
    <t xml:space="preserve"> 2019 год</t>
  </si>
  <si>
    <t>средства для выполнения мероприятий по укреплению и развитию спортивной материально-технической базы зимних видов спорта, предусмотренные в бюджете муниципального образования</t>
  </si>
  <si>
    <t>сметная стоимость мероприятия в ценах текущего года</t>
  </si>
  <si>
    <t>Объем субсидии (S)</t>
  </si>
  <si>
    <t>Количество лиц,подлежащих обучению (S2)</t>
  </si>
  <si>
    <t>Стоимость образовательных услуг (S1)</t>
  </si>
  <si>
    <t>субсидий бюджетам городских округов, предоставляемых в рамках подпрограммы  "Дополнительное профессиональное образование лиц,замещающих муниципальные должности в Магаданской области" на 2017-2021 годы"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</si>
  <si>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субсидий бюджетам городских окугов, предоставляемых в рамках подпрограммы "Развитие государственной гражданской службы и муниципальной службы в Магаданской области " на 2017-2021 годы"  государственной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</si>
  <si>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 xml:space="preserve"> субсидий бюджетам городских округов, предоставляемых в рамках подпрограммы "Формирование и подготовка резерва управленческих кадров Магаданской области" на 2017-2021 годы" 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</si>
  <si>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ИТОГО за 2019 год, тыс. рублей</t>
  </si>
  <si>
    <t>Всего в месяц (8=ст6+ст7)</t>
  </si>
  <si>
    <t>Сумма налогов в месяц (7=ст.6*30,2%), руб.</t>
  </si>
  <si>
    <t>Сумма надбавки в месяц с учетом РК и СН (6=ст.5*20%*2,5), руб.</t>
  </si>
  <si>
    <t>Оклад, руб.</t>
  </si>
  <si>
    <t>кол-во работников</t>
  </si>
  <si>
    <t>Наименование городских округов</t>
  </si>
  <si>
    <t xml:space="preserve"> субвенций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2014-2020 годы» </t>
  </si>
  <si>
    <t>город Магадан</t>
  </si>
  <si>
    <t>Размер субсидии, 2021 год (тыс. рублей)</t>
  </si>
  <si>
    <t>Размер субсидии, 2020 год (тыс. рублей)</t>
  </si>
  <si>
    <t>Размер субсидии, 2019 год (тыс. рублей)</t>
  </si>
  <si>
    <t>Общий объем денежных средств, предусмотренных в областном бюджете на очередной финансовый год на предоставление субсидий на проведение кадастровых работ в отношении земельных участков, планируемых к выделению гражданам, имеющим трех и более детей</t>
  </si>
  <si>
    <t>Общее количество граждан, состоящих на учете в реестре граждан, состоящих на учете для предоставления земельного участка в собственность бесплатно</t>
  </si>
  <si>
    <t xml:space="preserve">Количество граждан, имеющих трех и более детей, изъявивших желание на получение земельного участка в собственность бесплатно на территории муниципального образования </t>
  </si>
  <si>
    <t>Наименование гордского округа</t>
  </si>
  <si>
    <t xml:space="preserve"> субсидий бюджетам городских округов на проведение кадастровых работ в отношении земельных участков, планируемых к выделению гражданам, имеющим трех и более детей в рамках реализации подпрограммы «Обеспечение мер социальной поддержки отдельных категорий граждан» на 2016-2020 годы» государственной программы Магаданской области «Развитие социальной защиты населения Магаданской области» на 2014-2020 годы»</t>
  </si>
  <si>
    <t>ИТОГО ПО ГОРОДСКИМ ОКРУГАМ</t>
  </si>
  <si>
    <t>Северо Эвенский городской округ</t>
  </si>
  <si>
    <t>Сi                     Размер субвенций на 2021 г.       (тыс.руб)</t>
  </si>
  <si>
    <t>Сi                     Размер субвенций на 2020 г.       (тыс.руб)</t>
  </si>
  <si>
    <t>Сi                     Размер субвенций на 2019 г.       (тыс.руб)</t>
  </si>
  <si>
    <r>
      <t xml:space="preserve">Hi   </t>
    </r>
    <r>
      <rPr>
        <sz val="12"/>
        <color indexed="8"/>
        <rFont val="Times New Roman"/>
        <family val="1"/>
        <charset val="204"/>
      </rPr>
      <t xml:space="preserve">                  средний норматив финансовых затрат               (руб.)</t>
    </r>
  </si>
  <si>
    <r>
      <t xml:space="preserve">Ki                         </t>
    </r>
    <r>
      <rPr>
        <sz val="12"/>
        <color indexed="8"/>
        <rFont val="Times New Roman"/>
        <family val="1"/>
        <charset val="204"/>
      </rPr>
      <t>средний коэффициент сложности актов  гражданского  состояния  и  юридически   значимых  действий</t>
    </r>
  </si>
  <si>
    <r>
      <t>Ai</t>
    </r>
    <r>
      <rPr>
        <sz val="12"/>
        <color indexed="8"/>
        <rFont val="Times New Roman"/>
        <family val="1"/>
        <charset val="204"/>
      </rPr>
      <t xml:space="preserve">                        Общее  количество  регистрированных   актов  гражданского  состояния  и  юридически   значимых  действий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</si>
  <si>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отм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</si>
  <si>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ОТК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</si>
  <si>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ап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</si>
  <si>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дрб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</si>
  <si>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истр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</si>
  <si>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спр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</si>
  <si>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повт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</si>
  <si>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ан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</si>
  <si>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 xml:space="preserve">визм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</si>
  <si>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рзпр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</si>
  <si>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с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</si>
  <si>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пи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</si>
  <si>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уо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</si>
  <si>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у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</si>
  <si>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рб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</si>
  <si>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б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</si>
  <si>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</si>
  <si>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отм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</si>
  <si>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отк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</si>
  <si>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ап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</si>
  <si>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дрб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</si>
  <si>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истр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</si>
  <si>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спр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</si>
  <si>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повт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</si>
  <si>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ан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</si>
  <si>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визм</t>
    </r>
    <r>
      <rPr>
        <sz val="12"/>
        <color indexed="8"/>
        <rFont val="Times New Roman"/>
        <family val="1"/>
        <charset val="204"/>
      </rPr>
      <t xml:space="preserve"> 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</si>
  <si>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 xml:space="preserve">рзпр 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</si>
  <si>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 xml:space="preserve">с 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</si>
  <si>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пи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</si>
  <si>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уо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</si>
  <si>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у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</si>
  <si>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рб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</si>
  <si>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б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</si>
  <si>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р</t>
    </r>
  </si>
  <si>
    <t xml:space="preserve">Ю-кол-во иных юр. значимых действий, соверш. органами, уполномоч произв гос. регист. актов граж. состояния за 2017 год </t>
  </si>
  <si>
    <t>А-Количество зарегистрированных актов гражданского состояния за 2017 год</t>
  </si>
  <si>
    <r>
      <t>К</t>
    </r>
    <r>
      <rPr>
        <vertAlign val="subscript"/>
        <sz val="12"/>
        <color indexed="8"/>
        <rFont val="Times New Roman"/>
        <family val="1"/>
        <charset val="204"/>
      </rPr>
      <t>iю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</si>
  <si>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 xml:space="preserve">ia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</si>
  <si>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i   средний  коэффициент  сложности   регистрированных  действий</t>
    </r>
  </si>
  <si>
    <t>субвенций бюджетам городских округов  на осуществление полномочий по государственной регистрации актов гражданского состояния</t>
  </si>
  <si>
    <t>МО Ягоднинский ГО</t>
  </si>
  <si>
    <t>МО Хасынский ГО</t>
  </si>
  <si>
    <t>МО Тенькинский ГО</t>
  </si>
  <si>
    <t>МО Сусуманский ГО</t>
  </si>
  <si>
    <t>МО Среднеканский ГО</t>
  </si>
  <si>
    <t>МО Северо-Эвенский ГО</t>
  </si>
  <si>
    <t>МО Омсукчанский ГО</t>
  </si>
  <si>
    <t>МО Ольский ГО</t>
  </si>
  <si>
    <t>МО Город Магадан</t>
  </si>
  <si>
    <t>Объем субвенции на 2020 год (тыс.руб.)</t>
  </si>
  <si>
    <t>Объем субвенции на 2019 год (тыс.руб.)</t>
  </si>
  <si>
    <t>N - Норматив на перевод на 2019</t>
  </si>
  <si>
    <t>Xd - дни в году</t>
  </si>
  <si>
    <t>Lb - К сложности</t>
  </si>
  <si>
    <t>Вn - норм. Зап. на 1 работника</t>
  </si>
  <si>
    <t>Р - прочие</t>
  </si>
  <si>
    <t>Е - содержание помещений</t>
  </si>
  <si>
    <t>О - норматиный объем на оплату труда</t>
  </si>
  <si>
    <t>К районный</t>
  </si>
  <si>
    <t>Ср. К сложности</t>
  </si>
  <si>
    <t>Количество актовых записей подлежащих конвертации</t>
  </si>
  <si>
    <t>Городские округа</t>
  </si>
  <si>
    <t>субвенций бюджетам городских округов  на мероприятие по переводу в электронную форму книг государственной регистрации актов гражданского состояния</t>
  </si>
  <si>
    <t>Среднеканский  городской  округ</t>
  </si>
  <si>
    <t>Норматив численности работников, осуществляющих полномочия по первичному воинскому учету, ед.</t>
  </si>
  <si>
    <t>Количество граждан, состоящих на первичном воинском учете, чел.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</si>
  <si>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2021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</si>
  <si>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2020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</si>
  <si>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2019 год тыс. рублей, Vi</t>
  </si>
  <si>
    <t>Кол-во ставок военно-учетных работников в органе местного самоуправления, ед., Ni</t>
  </si>
  <si>
    <t>Общее кол-во ставок военно-учетных работников в органе местного самоуправления, ед., Nmo</t>
  </si>
  <si>
    <t>Размер субвенции, выделяемой Магаданской области на осуществление полномочий по первичному воинскому учету на территориях, где отсутствуют военные комиссариаты, тыс. рублей, Vmo</t>
  </si>
  <si>
    <t>2019-2021 годы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</si>
  <si>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на 2019-2021 годы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</si>
  <si>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</t>
  </si>
  <si>
    <t>Площадь жилья, занимаемая получателеми  мер социальной поддержке по муниципальному образованию</t>
  </si>
  <si>
    <t>Средняя площадь на 1-го человека (кв.м.)</t>
  </si>
  <si>
    <t>Численность граждан, имеющих право на получение мер социальной поддержки по оплате жилья и коммунальных услуг  (чел.)</t>
  </si>
  <si>
    <t>2021 год                     (тыс. рублей)</t>
  </si>
  <si>
    <t>2020 год                     (тыс. рублей)</t>
  </si>
  <si>
    <t>2019 год                     (тыс. рублей)</t>
  </si>
  <si>
    <t>число читателей  на 01.01.18 г.</t>
  </si>
  <si>
    <t>Наименование муниципальных образований</t>
  </si>
  <si>
    <t>тыс.руб.</t>
  </si>
  <si>
    <t>Объем субсидии из областного бюджета, предоставляемой бюджету  i-го муниципального образования  (S), 2021 год</t>
  </si>
  <si>
    <t>Объем субвенции городскому округу 2020 год</t>
  </si>
  <si>
    <t>Объем субвенции городскому округу 2019 год</t>
  </si>
  <si>
    <t>Расходы на предоставление работникам гарантий и компенсаций, установленных статьями 168 и 325 Трудового кодекса Российской Федерации  (G),  тыс.  рублей</t>
  </si>
  <si>
    <t>Объем средств на приобретение материальных запасов, полученный расчетным путем с учетом количества специалистов (Р), тыс. рублей</t>
  </si>
  <si>
    <t>Объем средств на оплату прочих расходов (М), тыс. рублей</t>
  </si>
  <si>
    <t>Оплата услуг связи, исходя из абоненской платы в месяц и дополнительных ежемесячных затрат на междугородние переговоры (С), тыс. рублей</t>
  </si>
  <si>
    <t>Расходы  на содержание имущества (В), тыс. рублей</t>
  </si>
  <si>
    <t>Расходы на оплату коммунальных услуг с учетом площади занимаемого учреждения (V), тыс. рублей</t>
  </si>
  <si>
    <t>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предусмотренные действующим законодательством (L)</t>
  </si>
  <si>
    <t>Коэффициент, учитывающий размер районного коэффициента и процентной надбавки к заработной плате за работу в районах Крайнего Севера (К2)</t>
  </si>
  <si>
    <t>Коэффициент, учитывающий выплаты ежемесячных надбавок, надбавок за выслугу лет, классный чин и премию муниципальных служащих, предусмотренный действующим законодательством (K1)</t>
  </si>
  <si>
    <t>Должностной оклад, предусмотренный законодательством и соответствующий ставке ведущего специалиста (N)</t>
  </si>
  <si>
    <t>Количество ставок специалистов административной комиссии ( R )</t>
  </si>
  <si>
    <t>Пимечание</t>
  </si>
  <si>
    <t xml:space="preserve">Хасынский городской округ </t>
  </si>
  <si>
    <t xml:space="preserve">Тенькинский городской округ </t>
  </si>
  <si>
    <t xml:space="preserve">Сусуманский городской округ </t>
  </si>
  <si>
    <t xml:space="preserve">Омсукчанский городской округ </t>
  </si>
  <si>
    <t>Всего по городским округам</t>
  </si>
  <si>
    <t>(тыс. рублей)</t>
  </si>
  <si>
    <t>Объем субвенции городскому округу 2021 год</t>
  </si>
  <si>
    <t xml:space="preserve">Расчет субвенций   на осуществление государственных полномочий по созданию и организации деятельности                                                                                                                                                                                    административных комиссий в соответствии с Законом Магаданской области от 09.06.2011 № 1392-ОЗ "О наделении органов местного самоуправления государственными полномочиями Магаданской области по созданию и организации деятельности административных комиссий" </t>
  </si>
  <si>
    <t>ИТОГО  на  2021  год</t>
  </si>
  <si>
    <t>ИТОГО  на  2020  год</t>
  </si>
  <si>
    <t>ИТОГО  на  2019  год</t>
  </si>
  <si>
    <t>Расходы на оплату услуг по содержанию имущества</t>
  </si>
  <si>
    <t>Расходы по оплате коммунальных услуг с учетом площади, занимаемого помещения</t>
  </si>
  <si>
    <t>Расходы по оплате стоимости проезда и провоза багажа к месту использования отпуска и обратно</t>
  </si>
  <si>
    <t>стоимость билетов (руб.)</t>
  </si>
  <si>
    <t>2 командировки в год по 4 дня</t>
  </si>
  <si>
    <t>Командировки и служебные разъезды (тыс.руб)</t>
  </si>
  <si>
    <t>кол-во семей состоящих на учете на 01.01.2015</t>
  </si>
  <si>
    <t>Прочие расходные материалы и предметы снабжения в год (тыс.руб)</t>
  </si>
  <si>
    <t>Оплата электронной связи за год  (тыс.руб)</t>
  </si>
  <si>
    <t>Оплата телефонной связи за год (тыс. руб.)</t>
  </si>
  <si>
    <t>Почтовые расходы (тыс.руб)</t>
  </si>
  <si>
    <t xml:space="preserve">Итого денежное содержание ведедущих спец.  </t>
  </si>
  <si>
    <t xml:space="preserve">Начисления на ФОТ 30,2 % </t>
  </si>
  <si>
    <t>северная надбавка (80%)</t>
  </si>
  <si>
    <t>городской округный коэф (70%)</t>
  </si>
  <si>
    <t>единовременная выплата и материальная помощь при предоставлении ежегодного оплачиваемого отпуска (2окл.+ 1 окл. в год)</t>
  </si>
  <si>
    <t>премия (0,25 окл./мес)</t>
  </si>
  <si>
    <t>ежемесячное денеж поощрение (2 окл./мес)</t>
  </si>
  <si>
    <t>квалификационный разряд (чин) (1 класс старших должностей)</t>
  </si>
  <si>
    <t>надбавка за выслугу (0,3 окл./мес)</t>
  </si>
  <si>
    <t>ежемесяч. надбавка  за особые усл. до (0,6 окл./мес)</t>
  </si>
  <si>
    <t>оклад*</t>
  </si>
  <si>
    <t>вед. специалист (кол-во ставок) (с января по декабрь)</t>
  </si>
  <si>
    <t xml:space="preserve">Итого денежное содержание главных спец.  </t>
  </si>
  <si>
    <t>единовременная выплата и материальная помощь при предоставлении ежегодного оплачиваемого отпуска (2окл.+ 1 окл в год)</t>
  </si>
  <si>
    <t xml:space="preserve">Всего </t>
  </si>
  <si>
    <t>ежемесяч. надбавка  за особые усл. до (до 0,6 окл./мес)</t>
  </si>
  <si>
    <t>оклад (в мес)</t>
  </si>
  <si>
    <t>гл. специалист  (кол-во ставок) (с января по декабрь)</t>
  </si>
  <si>
    <t>в т. ч.</t>
  </si>
  <si>
    <t>Кол-во специалистов</t>
  </si>
  <si>
    <t>Заработная плата всех специалистов за год</t>
  </si>
  <si>
    <t>Кол-во состоящих на учете (человек) на 01.01.2017</t>
  </si>
  <si>
    <t>гор. Магадан</t>
  </si>
  <si>
    <t>Всего по городской округам</t>
  </si>
  <si>
    <t xml:space="preserve"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 </t>
  </si>
  <si>
    <t>Объем субвенций на 2021 год, (Vсубв.жил.)</t>
  </si>
  <si>
    <t>прочие расходы (221, 222, 225, 226, 260, 290, 310, 340), рублей,(Т)</t>
  </si>
  <si>
    <t>гарант.и компенс. 168 и 325 ТК РФ, руб.,(G)</t>
  </si>
  <si>
    <t>Проч.расх.(005220) всего:</t>
  </si>
  <si>
    <t>Ком.усл.(005207)</t>
  </si>
  <si>
    <t>размер ставки спец-та, в завис.от числен.</t>
  </si>
  <si>
    <t>субвенций бюджетам городских округов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на 2014-2020 годы» государственной программы Магаданской области «Развитие образования в Магаданской области» на 2014-2020 годы»</t>
  </si>
  <si>
    <t>Начисления на выплаты по оплате труда</t>
  </si>
  <si>
    <t>Заработная плата</t>
  </si>
  <si>
    <t xml:space="preserve">Общая сумма на 2018 год </t>
  </si>
  <si>
    <t>Доп класс</t>
  </si>
  <si>
    <t xml:space="preserve">Наименование </t>
  </si>
  <si>
    <t xml:space="preserve">Мероприятия </t>
  </si>
  <si>
    <t xml:space="preserve">Продолжительность заезда                                                                             </t>
  </si>
  <si>
    <t>Ед. изм.: рублей</t>
  </si>
  <si>
    <t xml:space="preserve">  Субвенции бюджетам городских округов на обеспечение осуществления государственных полномочий                                                    </t>
  </si>
  <si>
    <t>Коэффициент, учитывающий размер районного коэффициента и процентной надбавки к заработной плате работников организаций, расположенных на территории Магаданской области, (k1)</t>
  </si>
  <si>
    <t>Нормативы, руб.:</t>
  </si>
  <si>
    <t>Норматив финансовых затрат на отлов и транспортировку отловленных безнадзорных животных в расчете на одну голову животного</t>
  </si>
  <si>
    <t>Норматив финансовых затрат на содержание и учет отловленных безнадзорных животных:</t>
  </si>
  <si>
    <t>содержание безнадзорных животных в расчете на одну голову животного в сутки</t>
  </si>
  <si>
    <t>учет безнадзорных животных в расчете на одну голову животного</t>
  </si>
  <si>
    <t xml:space="preserve">затраты на обеспечение содержания животных( с учетом оплаты труда рабочих, приобретение хоз. инвентаря) в расчете на одну голову животного в сутки </t>
  </si>
  <si>
    <t>затраты на обработку от эктопаразитов на 1 БНЖ</t>
  </si>
  <si>
    <t>Норматив финансовых затрат на эвтаназию безнадзорных животных и утилизацию (уничтожение) их трупов в расчете на одну голову жи-вотного</t>
  </si>
  <si>
    <t>Норматив финансовых затрат на осуществление управленческих функций в расчете на одного муниципального служащего в месяц</t>
  </si>
  <si>
    <t>Количество ставок муниципальных служащих</t>
  </si>
  <si>
    <t>Кол-во БнЖ, подлежащих отлову в течении года по данным департамента ветеринарии</t>
  </si>
  <si>
    <t>Размер субвенции на отлов и содержание БнЖ (без приютов)</t>
  </si>
  <si>
    <t>Ольский  ГО</t>
  </si>
  <si>
    <t>Омсукчанский ГО</t>
  </si>
  <si>
    <t>Северо-Эвенский ГО</t>
  </si>
  <si>
    <t>Среднеканский ГО</t>
  </si>
  <si>
    <t>Сусуманский ГО</t>
  </si>
  <si>
    <t>Тенькинский ГО</t>
  </si>
  <si>
    <t>Хасынский ГО</t>
  </si>
  <si>
    <t>Ягоднинский ГО</t>
  </si>
  <si>
    <t>Расчет субсидий бюджетам городских округов на реализацию мероприятий подпрограммы "Развитие библиотечного дела Магаданской области" на 2014-2021 годы" государственной программы Магаданской области "Развитие  культуры в Магаданской области" на 2014-2021 годы"</t>
  </si>
  <si>
    <t>кол-во библиотек на 01.01.17 г.</t>
  </si>
  <si>
    <t xml:space="preserve">Размер субсидий бюджетам муниципальных образований Магаданской области определяется по следующей формуле: </t>
  </si>
  <si>
    <t>х ЧЧМО</t>
  </si>
  <si>
    <t>где:</t>
  </si>
  <si>
    <t>ОС - объем субсидии из областного бюджета, выделенный бюджету №-го муниципального образования;</t>
  </si>
  <si>
    <t>ООС - общий объем средств областного бюджета, предусмотренный на субсидии для комплектования книжных фондов муниципальных библиотек Магаданской области;</t>
  </si>
  <si>
    <t>ОЧЧ - общее число читателей библиотек муниципальных образований Магаданской области участников государственной программы</t>
  </si>
  <si>
    <t>ЧЧМО - число читателей библиотек муниципального образования.</t>
  </si>
  <si>
    <t>иных межбюджетных трансфертов бюджетам муниципальных образований</t>
  </si>
  <si>
    <t>на возмещение расходов по предоставлению мер социальной поддержки</t>
  </si>
  <si>
    <t>по оплате жилья  и коммунальных услуг отдельным категориям граждан,</t>
  </si>
  <si>
    <t>проживающих на территории Магаданской области на 2019-2021 годы</t>
  </si>
  <si>
    <t>Министерство культуры и туризма Магаданской области</t>
  </si>
  <si>
    <t>Кол - во месяцев</t>
  </si>
  <si>
    <t>Ольский ГО</t>
  </si>
  <si>
    <t>Омсукчанский р-н</t>
  </si>
  <si>
    <t>С-Эвенский р-н</t>
  </si>
  <si>
    <t>Сусуманский р-н</t>
  </si>
  <si>
    <t>Тенькинский р-н</t>
  </si>
  <si>
    <t>Хасынский р-н</t>
  </si>
  <si>
    <t>Ягоднинский р-н</t>
  </si>
  <si>
    <t>Сумма</t>
  </si>
  <si>
    <t>субвенций бюджетам городских округов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 государственной программы Магаданской области «Развитие образования в Магаданской области» на 2019 год.</t>
  </si>
  <si>
    <t>субвенций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 государственной программы Магаданской области "Развитие образования в Магаданской области"</t>
  </si>
  <si>
    <t xml:space="preserve">в рамках подпрограммы "Организация и обеспечение отдыха и оздоровление детей в Магаданской области" </t>
  </si>
  <si>
    <t>государственной программы Магаданской области "Развитие образования в Магаданской области</t>
  </si>
  <si>
    <t xml:space="preserve">субсидий бюджетам городских округов на приобретение школьных автобусов в рамках реализации подпрограммы «Развитие общего образования в Магаданской области»  государственной программы "Развитие образования в Магаданской области" </t>
  </si>
  <si>
    <t xml:space="preserve"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"Управление развитием отрасли образования в Магаданской области"  госудраственной программы Магаданской области "Развитие образования в Магаданской области" </t>
  </si>
  <si>
    <t xml:space="preserve">субсидий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 государственной программы Магаданской области "Развитие образования в Магаданской области" </t>
  </si>
  <si>
    <t xml:space="preserve">субсидий бюджетам городских округов на питание (завтрак или полдник) детей из многодетных семей, обучающихся в общеобразовательных организациях, в рамках реализации подпрограммы «Развитие общего образования в Магаданской области»  государственной программы "Развитие образования в Магаданской области" </t>
  </si>
  <si>
    <t xml:space="preserve">субсидий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</si>
  <si>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субсидий бюджетам городских округов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организациях, в рамках реализации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 </t>
  </si>
  <si>
    <t>Размер субсидии для молодых семей 2 человека (молодые супруги)</t>
  </si>
  <si>
    <t>Размер субсидии для молодых семей 2 человека (родитель и ребенок)</t>
  </si>
  <si>
    <t>Размер субсидии для членов мол.семей (3 и более человек)</t>
  </si>
  <si>
    <t>Итого сумма областного и федерального бюджетов на 2019 г., тыс.руб. (Pi)</t>
  </si>
  <si>
    <t>Количество молодых семей (молодые супруги), включенные в список претендентов на получение соц.выплаты, чел. (С)</t>
  </si>
  <si>
    <t>Норматив жилья, кв.м. (42)</t>
  </si>
  <si>
    <t>Норматив стоимости 1 кв.м. общей площади жилья по i-му муниципальному образованию, установленный органом МСУ, но не выше средней рыночной стоимости 1 кв. м. общей S жилья по Магаданской области, руб. (Hi)</t>
  </si>
  <si>
    <t>Коэффициент, учитывающий долю ср-в местного бюджета в социальной выплате, предоставляемой молодой семье, включенной в список претендентов, проценты (k)</t>
  </si>
  <si>
    <t>Всего стоимость, руб.</t>
  </si>
  <si>
    <t>Количество молодых семей (родитель и ребенок), включенные в список претендентов на получение соц.выплаты, чел. (Сi)</t>
  </si>
  <si>
    <t>Количество человек, являющихся членами молодых семей, состоящих из 3-х и более человек, включенных в список претендентов на получение соц.выплаты, чел. (Чi)</t>
  </si>
  <si>
    <t>Норматив жилья, кв.м. (18)</t>
  </si>
  <si>
    <t>гр.1</t>
  </si>
  <si>
    <t>гр.2</t>
  </si>
  <si>
    <t>гр.3</t>
  </si>
  <si>
    <t>гр.4</t>
  </si>
  <si>
    <t>гр.5</t>
  </si>
  <si>
    <t>гр.6=гр.2*гр.3*гр.4*(30-гр.5)</t>
  </si>
  <si>
    <t>гр.7</t>
  </si>
  <si>
    <t>гр.8</t>
  </si>
  <si>
    <t>гр.9</t>
  </si>
  <si>
    <t>гр.10</t>
  </si>
  <si>
    <t>гр.11=гр.7*гр.8*гр.9*(35-гр.10)</t>
  </si>
  <si>
    <t>гр.12</t>
  </si>
  <si>
    <t>гр.13</t>
  </si>
  <si>
    <t>гр.14</t>
  </si>
  <si>
    <t>гр.15</t>
  </si>
  <si>
    <t>гр.16=гр.12*гр.13*гр.14*(35-гр.15)</t>
  </si>
  <si>
    <t>гр.17</t>
  </si>
  <si>
    <t>Хасынский городской округ 15</t>
  </si>
  <si>
    <t>субсидии бюджетам городских округов на реализацию мероприятий по обеспечению жильем молодых семей в рамках подпрограммы "Оказание поддержки в обеспечении  жильем молодых семей"   на 2014-2021 годы" государственной программы Магаданской области  «Обеспечение доступным и комфортным жильем жителей Магаданской области» на 2014-2021 годы»"</t>
  </si>
  <si>
    <t>субсидий бюджетам городских округов на укрепление и развитие спортивной материально-технической базы зимних видов спорта в рамках реализации подпрограммы «Развитие спорта высших достижений и подготовка спортивного резерва в Магаданской области на 2017 - 2021 годы» государственной программы  Магаданской области «Развитие физической культуры и спорта в Магаданской области» на 2014-2021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</si>
</sst>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"/>
    <numFmt numFmtId="167" formatCode="#,##0.0"/>
    <numFmt numFmtId="168" formatCode="#,##0.000"/>
    <numFmt numFmtId="169" formatCode="#,##0.0_р_."/>
    <numFmt numFmtId="170" formatCode="#,##0.0_ ;\-#,##0.0\ "/>
    <numFmt numFmtId="171" formatCode="#,##0.00_ ;\-#,##0.00\ "/>
    <numFmt numFmtId="172" formatCode="#,##0_ ;\-#,##0\ 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_-* #,##0.0_р_._-;\-* #,##0.0_р_._-;_-* &quot;-&quot;?_р_._-;_-@_-"/>
    <numFmt numFmtId="177" formatCode="#,##0.0000_ ;\-#,##0.0000\ "/>
    <numFmt numFmtId="178" formatCode="_-* #,##0.000_р_._-;\-* #,##0.000_р_._-;_-* &quot;-&quot;??_р_._-;_-@_-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2"/>
      <name val="Times"/>
      <family val="1"/>
    </font>
    <font>
      <b/>
      <sz val="11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Calibri"/>
      <family val="2"/>
      <charset val="204"/>
    </font>
    <font>
      <sz val="10"/>
      <color theme="0"/>
      <name val="Times New Roman"/>
      <family val="1"/>
      <charset val="204"/>
    </font>
    <font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7" fillId="0" borderId="0"/>
    <xf numFmtId="0" fontId="26" fillId="0" borderId="0"/>
    <xf numFmtId="0" fontId="6" fillId="0" borderId="0"/>
    <xf numFmtId="0" fontId="27" fillId="0" borderId="0"/>
    <xf numFmtId="0" fontId="2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0" fontId="2" fillId="0" borderId="0"/>
    <xf numFmtId="43" fontId="4" fillId="0" borderId="0" applyFont="0" applyFill="0" applyBorder="0" applyAlignment="0" applyProtection="0"/>
  </cellStyleXfs>
  <cellXfs count="949">
    <xf numFmtId="0" fontId="0" fillId="0" borderId="0" xfId="0"/>
    <xf numFmtId="0" fontId="5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1" xfId="0" applyFont="1" applyFill="1" applyBorder="1"/>
    <xf numFmtId="0" fontId="5" fillId="0" borderId="0" xfId="3" applyFont="1"/>
    <xf numFmtId="0" fontId="5" fillId="0" borderId="0" xfId="3" applyFont="1" applyFill="1"/>
    <xf numFmtId="4" fontId="13" fillId="0" borderId="1" xfId="3" applyNumberFormat="1" applyFont="1" applyFill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1" fillId="0" borderId="0" xfId="0" applyFont="1"/>
    <xf numFmtId="0" fontId="16" fillId="0" borderId="0" xfId="0" applyFont="1" applyBorder="1" applyAlignment="1">
      <alignment horizontal="right"/>
    </xf>
    <xf numFmtId="0" fontId="5" fillId="0" borderId="0" xfId="3" applyFont="1" applyAlignment="1">
      <alignment vertical="center"/>
    </xf>
    <xf numFmtId="4" fontId="5" fillId="0" borderId="1" xfId="4" applyNumberFormat="1" applyFont="1" applyFill="1" applyBorder="1" applyAlignment="1">
      <alignment horizontal="left" wrapText="1"/>
    </xf>
    <xf numFmtId="0" fontId="5" fillId="0" borderId="0" xfId="3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0" fillId="0" borderId="0" xfId="1" applyFont="1" applyFill="1"/>
    <xf numFmtId="0" fontId="10" fillId="0" borderId="1" xfId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0" fontId="10" fillId="0" borderId="0" xfId="3" applyFont="1" applyFill="1"/>
    <xf numFmtId="0" fontId="10" fillId="0" borderId="0" xfId="3" applyFont="1" applyFill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wrapText="1"/>
    </xf>
    <xf numFmtId="4" fontId="16" fillId="0" borderId="1" xfId="4" applyNumberFormat="1" applyFont="1" applyFill="1" applyBorder="1" applyAlignment="1">
      <alignment horizontal="left" vertical="top"/>
    </xf>
    <xf numFmtId="0" fontId="14" fillId="0" borderId="0" xfId="0" applyFont="1" applyFill="1"/>
    <xf numFmtId="2" fontId="30" fillId="0" borderId="0" xfId="0" applyNumberFormat="1" applyFont="1" applyFill="1" applyAlignment="1">
      <alignment vertical="top" wrapText="1"/>
    </xf>
    <xf numFmtId="2" fontId="31" fillId="0" borderId="0" xfId="0" applyNumberFormat="1" applyFont="1" applyFill="1" applyAlignment="1">
      <alignment vertical="top" wrapText="1"/>
    </xf>
    <xf numFmtId="0" fontId="15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4" fontId="10" fillId="0" borderId="1" xfId="4" applyNumberFormat="1" applyFont="1" applyFill="1" applyBorder="1" applyAlignment="1">
      <alignment horizontal="left" vertical="top"/>
    </xf>
    <xf numFmtId="4" fontId="11" fillId="0" borderId="1" xfId="0" applyNumberFormat="1" applyFont="1" applyBorder="1" applyAlignment="1">
      <alignment horizontal="center"/>
    </xf>
    <xf numFmtId="0" fontId="12" fillId="2" borderId="1" xfId="3" applyFont="1" applyFill="1" applyBorder="1"/>
    <xf numFmtId="0" fontId="10" fillId="0" borderId="1" xfId="3" applyFont="1" applyFill="1" applyBorder="1" applyAlignment="1">
      <alignment horizontal="center" vertical="top" wrapTex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/>
    <xf numFmtId="167" fontId="10" fillId="0" borderId="1" xfId="0" applyNumberFormat="1" applyFont="1" applyFill="1" applyBorder="1" applyAlignment="1">
      <alignment horizontal="right"/>
    </xf>
    <xf numFmtId="0" fontId="5" fillId="0" borderId="0" xfId="3" applyFont="1" applyFill="1" applyAlignment="1">
      <alignment horizontal="right" vertical="center"/>
    </xf>
    <xf numFmtId="0" fontId="16" fillId="0" borderId="0" xfId="3" applyFont="1" applyFill="1"/>
    <xf numFmtId="0" fontId="9" fillId="0" borderId="0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/>
    </xf>
    <xf numFmtId="3" fontId="19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wrapText="1"/>
    </xf>
    <xf numFmtId="4" fontId="16" fillId="0" borderId="1" xfId="3" applyNumberFormat="1" applyFont="1" applyFill="1" applyBorder="1" applyAlignment="1">
      <alignment wrapText="1"/>
    </xf>
    <xf numFmtId="4" fontId="5" fillId="0" borderId="1" xfId="4" applyNumberFormat="1" applyFont="1" applyFill="1" applyBorder="1" applyAlignment="1">
      <alignment horizontal="center"/>
    </xf>
    <xf numFmtId="43" fontId="5" fillId="0" borderId="1" xfId="9" applyFont="1" applyFill="1" applyBorder="1" applyAlignment="1">
      <alignment horizontal="center"/>
    </xf>
    <xf numFmtId="172" fontId="18" fillId="0" borderId="1" xfId="9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7" fontId="5" fillId="0" borderId="1" xfId="3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167" fontId="16" fillId="0" borderId="1" xfId="3" applyNumberFormat="1" applyFont="1" applyFill="1" applyBorder="1" applyAlignment="1">
      <alignment horizontal="center"/>
    </xf>
    <xf numFmtId="170" fontId="18" fillId="0" borderId="1" xfId="9" applyNumberFormat="1" applyFont="1" applyFill="1" applyBorder="1" applyAlignment="1">
      <alignment horizontal="center"/>
    </xf>
    <xf numFmtId="170" fontId="16" fillId="0" borderId="1" xfId="3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167" fontId="29" fillId="0" borderId="1" xfId="6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right"/>
    </xf>
    <xf numFmtId="167" fontId="29" fillId="0" borderId="1" xfId="0" applyNumberFormat="1" applyFont="1" applyFill="1" applyBorder="1" applyAlignment="1">
      <alignment horizontal="center"/>
    </xf>
    <xf numFmtId="167" fontId="10" fillId="0" borderId="1" xfId="6" applyNumberFormat="1" applyFont="1" applyFill="1" applyBorder="1" applyAlignment="1">
      <alignment horizontal="center"/>
    </xf>
    <xf numFmtId="0" fontId="11" fillId="0" borderId="0" xfId="3" applyFont="1" applyFill="1"/>
    <xf numFmtId="0" fontId="10" fillId="0" borderId="0" xfId="3" applyFont="1" applyFill="1" applyAlignment="1">
      <alignment horizontal="center" vertical="top" wrapText="1"/>
    </xf>
    <xf numFmtId="0" fontId="21" fillId="0" borderId="0" xfId="3" applyFont="1" applyFill="1"/>
    <xf numFmtId="0" fontId="10" fillId="0" borderId="0" xfId="3" applyFont="1" applyFill="1" applyAlignment="1">
      <alignment horizontal="right" vertical="top" wrapText="1"/>
    </xf>
    <xf numFmtId="0" fontId="11" fillId="0" borderId="0" xfId="3" applyFont="1" applyFill="1" applyAlignment="1">
      <alignment vertical="center"/>
    </xf>
    <xf numFmtId="0" fontId="29" fillId="0" borderId="1" xfId="0" applyFont="1" applyFill="1" applyBorder="1" applyAlignment="1">
      <alignment horizontal="center" wrapText="1"/>
    </xf>
    <xf numFmtId="0" fontId="11" fillId="0" borderId="0" xfId="3" applyFont="1" applyFill="1" applyAlignment="1"/>
    <xf numFmtId="0" fontId="10" fillId="0" borderId="0" xfId="3" applyFont="1" applyFill="1" applyAlignment="1">
      <alignment horizontal="right"/>
    </xf>
    <xf numFmtId="0" fontId="29" fillId="0" borderId="0" xfId="0" applyFont="1"/>
    <xf numFmtId="0" fontId="29" fillId="0" borderId="0" xfId="0" applyFont="1" applyAlignment="1">
      <alignment vertical="center"/>
    </xf>
    <xf numFmtId="3" fontId="29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29" fillId="0" borderId="0" xfId="0" applyFont="1" applyAlignment="1">
      <alignment horizontal="right"/>
    </xf>
    <xf numFmtId="167" fontId="2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wrapText="1"/>
    </xf>
    <xf numFmtId="167" fontId="10" fillId="0" borderId="1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left" vertical="top" wrapText="1"/>
    </xf>
    <xf numFmtId="168" fontId="10" fillId="0" borderId="1" xfId="3" applyNumberFormat="1" applyFont="1" applyFill="1" applyBorder="1" applyAlignment="1">
      <alignment horizontal="center"/>
    </xf>
    <xf numFmtId="3" fontId="10" fillId="0" borderId="1" xfId="3" applyNumberFormat="1" applyFont="1" applyFill="1" applyBorder="1" applyAlignment="1">
      <alignment horizontal="center"/>
    </xf>
    <xf numFmtId="0" fontId="32" fillId="0" borderId="1" xfId="1" applyFont="1" applyFill="1" applyBorder="1" applyAlignment="1">
      <alignment horizontal="left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167" fontId="5" fillId="0" borderId="0" xfId="3" applyNumberFormat="1" applyFont="1" applyFill="1"/>
    <xf numFmtId="0" fontId="13" fillId="0" borderId="1" xfId="3" applyFont="1" applyFill="1" applyBorder="1" applyAlignment="1">
      <alignment vertical="center" wrapText="1"/>
    </xf>
    <xf numFmtId="0" fontId="13" fillId="0" borderId="1" xfId="3" applyFont="1" applyFill="1" applyBorder="1"/>
    <xf numFmtId="167" fontId="29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170" fontId="29" fillId="0" borderId="1" xfId="7" applyNumberFormat="1" applyFont="1" applyFill="1" applyBorder="1" applyAlignment="1">
      <alignment horizontal="center" wrapText="1"/>
    </xf>
    <xf numFmtId="167" fontId="29" fillId="0" borderId="1" xfId="0" applyNumberFormat="1" applyFont="1" applyBorder="1" applyAlignment="1">
      <alignment horizont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Border="1" applyAlignment="1"/>
    <xf numFmtId="167" fontId="29" fillId="0" borderId="1" xfId="0" applyNumberFormat="1" applyFont="1" applyBorder="1"/>
    <xf numFmtId="0" fontId="12" fillId="0" borderId="1" xfId="3" applyFont="1" applyFill="1" applyBorder="1"/>
    <xf numFmtId="167" fontId="12" fillId="0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24" fillId="0" borderId="1" xfId="3" applyFont="1" applyFill="1" applyBorder="1"/>
    <xf numFmtId="3" fontId="24" fillId="0" borderId="1" xfId="3" applyNumberFormat="1" applyFont="1" applyFill="1" applyBorder="1" applyAlignment="1">
      <alignment horizontal="center"/>
    </xf>
    <xf numFmtId="4" fontId="24" fillId="0" borderId="1" xfId="3" applyNumberFormat="1" applyFont="1" applyFill="1" applyBorder="1" applyAlignment="1">
      <alignment horizontal="right"/>
    </xf>
    <xf numFmtId="168" fontId="29" fillId="0" borderId="1" xfId="0" applyNumberFormat="1" applyFont="1" applyBorder="1"/>
    <xf numFmtId="168" fontId="29" fillId="3" borderId="1" xfId="0" applyNumberFormat="1" applyFont="1" applyFill="1" applyBorder="1"/>
    <xf numFmtId="168" fontId="29" fillId="0" borderId="1" xfId="0" applyNumberFormat="1" applyFont="1" applyBorder="1" applyAlignment="1">
      <alignment horizontal="center"/>
    </xf>
    <xf numFmtId="167" fontId="10" fillId="0" borderId="1" xfId="7" applyNumberFormat="1" applyFont="1" applyFill="1" applyBorder="1" applyAlignment="1">
      <alignment horizontal="right" vertical="center" wrapText="1"/>
    </xf>
    <xf numFmtId="43" fontId="10" fillId="0" borderId="1" xfId="7" applyFont="1" applyFill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167" fontId="29" fillId="0" borderId="4" xfId="0" applyNumberFormat="1" applyFont="1" applyBorder="1" applyAlignment="1">
      <alignment horizontal="center"/>
    </xf>
    <xf numFmtId="167" fontId="29" fillId="0" borderId="8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 wrapText="1"/>
    </xf>
    <xf numFmtId="166" fontId="10" fillId="0" borderId="1" xfId="7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right" vertical="center" wrapText="1"/>
    </xf>
    <xf numFmtId="0" fontId="12" fillId="0" borderId="0" xfId="1" applyFont="1" applyFill="1"/>
    <xf numFmtId="167" fontId="12" fillId="0" borderId="1" xfId="7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right" vertical="center" wrapText="1"/>
    </xf>
    <xf numFmtId="167" fontId="12" fillId="4" borderId="1" xfId="1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vertical="center" wrapText="1"/>
    </xf>
    <xf numFmtId="4" fontId="12" fillId="4" borderId="1" xfId="1" applyNumberFormat="1" applyFont="1" applyFill="1" applyBorder="1" applyAlignment="1">
      <alignment horizontal="right" vertical="center" wrapText="1"/>
    </xf>
    <xf numFmtId="166" fontId="12" fillId="4" borderId="1" xfId="1" applyNumberFormat="1" applyFont="1" applyFill="1" applyBorder="1" applyAlignment="1">
      <alignment horizontal="right" vertical="center" wrapText="1"/>
    </xf>
    <xf numFmtId="167" fontId="12" fillId="4" borderId="1" xfId="7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horizontal="right" vertical="center" wrapText="1"/>
    </xf>
    <xf numFmtId="43" fontId="12" fillId="4" borderId="1" xfId="7" applyFont="1" applyFill="1" applyBorder="1" applyAlignment="1">
      <alignment horizontal="right" vertical="center" wrapText="1"/>
    </xf>
    <xf numFmtId="0" fontId="10" fillId="5" borderId="1" xfId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/>
    <xf numFmtId="0" fontId="34" fillId="0" borderId="1" xfId="0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34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/>
    <xf numFmtId="3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169" fontId="7" fillId="0" borderId="0" xfId="3" applyNumberFormat="1" applyFont="1" applyFill="1"/>
    <xf numFmtId="167" fontId="7" fillId="0" borderId="0" xfId="3" applyNumberFormat="1" applyFont="1" applyFill="1"/>
    <xf numFmtId="0" fontId="7" fillId="0" borderId="0" xfId="3" applyFont="1" applyFill="1"/>
    <xf numFmtId="0" fontId="24" fillId="0" borderId="1" xfId="3" applyFont="1" applyFill="1" applyBorder="1" applyAlignment="1">
      <alignment wrapText="1"/>
    </xf>
    <xf numFmtId="0" fontId="7" fillId="0" borderId="0" xfId="3" applyFont="1"/>
    <xf numFmtId="4" fontId="13" fillId="0" borderId="1" xfId="3" applyNumberFormat="1" applyFont="1" applyFill="1" applyBorder="1" applyProtection="1">
      <protection locked="0"/>
    </xf>
    <xf numFmtId="3" fontId="13" fillId="0" borderId="1" xfId="3" applyNumberFormat="1" applyFont="1" applyFill="1" applyBorder="1" applyAlignment="1" applyProtection="1">
      <alignment horizontal="center"/>
      <protection locked="0"/>
    </xf>
    <xf numFmtId="4" fontId="24" fillId="0" borderId="1" xfId="3" applyNumberFormat="1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wrapText="1"/>
      <protection locked="0"/>
    </xf>
    <xf numFmtId="0" fontId="16" fillId="0" borderId="1" xfId="5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4" fontId="16" fillId="0" borderId="1" xfId="5" applyNumberFormat="1" applyFont="1" applyFill="1" applyBorder="1" applyAlignment="1" applyProtection="1">
      <alignment horizontal="center"/>
      <protection locked="0"/>
    </xf>
    <xf numFmtId="167" fontId="10" fillId="0" borderId="0" xfId="3" applyNumberFormat="1" applyFont="1" applyFill="1" applyBorder="1" applyAlignment="1">
      <alignment horizontal="right" vertical="center" wrapText="1"/>
    </xf>
    <xf numFmtId="167" fontId="10" fillId="0" borderId="0" xfId="3" applyNumberFormat="1" applyFont="1" applyFill="1"/>
    <xf numFmtId="0" fontId="16" fillId="0" borderId="0" xfId="0" applyFont="1" applyFill="1" applyAlignment="1"/>
    <xf numFmtId="0" fontId="34" fillId="0" borderId="1" xfId="0" applyFont="1" applyFill="1" applyBorder="1" applyAlignment="1" applyProtection="1">
      <alignment horizontal="center"/>
      <protection locked="0"/>
    </xf>
    <xf numFmtId="165" fontId="34" fillId="0" borderId="1" xfId="0" applyNumberFormat="1" applyFont="1" applyFill="1" applyBorder="1" applyAlignment="1" applyProtection="1">
      <alignment horizontal="center"/>
      <protection locked="0"/>
    </xf>
    <xf numFmtId="167" fontId="16" fillId="0" borderId="1" xfId="0" applyNumberFormat="1" applyFont="1" applyFill="1" applyBorder="1"/>
    <xf numFmtId="0" fontId="16" fillId="0" borderId="0" xfId="0" applyFont="1" applyFill="1"/>
    <xf numFmtId="167" fontId="33" fillId="0" borderId="1" xfId="0" applyNumberFormat="1" applyFont="1" applyFill="1" applyBorder="1"/>
    <xf numFmtId="3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1" applyFont="1" applyFill="1" applyBorder="1" applyAlignment="1" applyProtection="1">
      <alignment horizontal="right" vertical="center" wrapText="1"/>
      <protection locked="0"/>
    </xf>
    <xf numFmtId="0" fontId="15" fillId="0" borderId="1" xfId="5" applyFont="1" applyFill="1" applyBorder="1"/>
    <xf numFmtId="3" fontId="15" fillId="0" borderId="1" xfId="5" applyNumberFormat="1" applyFont="1" applyFill="1" applyBorder="1" applyAlignment="1">
      <alignment horizontal="center"/>
    </xf>
    <xf numFmtId="0" fontId="15" fillId="0" borderId="1" xfId="5" applyFont="1" applyFill="1" applyBorder="1" applyAlignment="1">
      <alignment horizontal="center"/>
    </xf>
    <xf numFmtId="170" fontId="15" fillId="0" borderId="1" xfId="5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0" fontId="12" fillId="0" borderId="1" xfId="3" applyFont="1" applyFill="1" applyBorder="1" applyAlignment="1"/>
    <xf numFmtId="3" fontId="12" fillId="0" borderId="1" xfId="3" applyNumberFormat="1" applyFont="1" applyFill="1" applyBorder="1" applyAlignment="1">
      <alignment horizontal="center"/>
    </xf>
    <xf numFmtId="167" fontId="12" fillId="0" borderId="1" xfId="3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28" fillId="0" borderId="1" xfId="0" applyFont="1" applyFill="1" applyBorder="1" applyAlignment="1">
      <alignment horizontal="justify" wrapText="1"/>
    </xf>
    <xf numFmtId="3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2" fillId="0" borderId="0" xfId="3" applyFont="1" applyFill="1" applyAlignment="1"/>
    <xf numFmtId="0" fontId="36" fillId="0" borderId="1" xfId="0" applyFont="1" applyFill="1" applyBorder="1" applyAlignment="1">
      <alignment horizontal="center" wrapText="1"/>
    </xf>
    <xf numFmtId="0" fontId="37" fillId="0" borderId="0" xfId="3" applyFont="1" applyFill="1" applyAlignment="1"/>
    <xf numFmtId="167" fontId="24" fillId="0" borderId="1" xfId="3" applyNumberFormat="1" applyFont="1" applyFill="1" applyBorder="1" applyAlignment="1">
      <alignment horizontal="right"/>
    </xf>
    <xf numFmtId="0" fontId="10" fillId="0" borderId="0" xfId="0" applyFont="1"/>
    <xf numFmtId="3" fontId="19" fillId="0" borderId="8" xfId="3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7" fillId="0" borderId="0" xfId="0" applyFont="1"/>
    <xf numFmtId="4" fontId="10" fillId="0" borderId="1" xfId="3" applyNumberFormat="1" applyFont="1" applyFill="1" applyBorder="1" applyAlignment="1">
      <alignment horizontal="left" vertical="top"/>
    </xf>
    <xf numFmtId="4" fontId="39" fillId="0" borderId="1" xfId="3" applyNumberFormat="1" applyFont="1" applyFill="1" applyBorder="1" applyAlignment="1">
      <alignment horizontal="center"/>
    </xf>
    <xf numFmtId="171" fontId="9" fillId="0" borderId="1" xfId="9" applyNumberFormat="1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173" fontId="35" fillId="0" borderId="1" xfId="6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173" fontId="34" fillId="0" borderId="1" xfId="0" applyNumberFormat="1" applyFont="1" applyFill="1" applyBorder="1" applyAlignment="1">
      <alignment vertical="center"/>
    </xf>
    <xf numFmtId="173" fontId="34" fillId="0" borderId="1" xfId="6" applyNumberFormat="1" applyFont="1" applyFill="1" applyBorder="1" applyAlignment="1">
      <alignment horizontal="right" vertical="center"/>
    </xf>
    <xf numFmtId="173" fontId="34" fillId="0" borderId="1" xfId="0" applyNumberFormat="1" applyFont="1" applyFill="1" applyBorder="1" applyAlignment="1">
      <alignment horizontal="right" vertical="center"/>
    </xf>
    <xf numFmtId="173" fontId="35" fillId="0" borderId="1" xfId="0" applyNumberFormat="1" applyFont="1" applyFill="1" applyBorder="1" applyAlignment="1">
      <alignment vertical="center"/>
    </xf>
    <xf numFmtId="173" fontId="34" fillId="0" borderId="1" xfId="6" applyNumberFormat="1" applyFont="1" applyFill="1" applyBorder="1" applyAlignment="1">
      <alignment vertical="center"/>
    </xf>
    <xf numFmtId="173" fontId="34" fillId="0" borderId="1" xfId="0" applyNumberFormat="1" applyFont="1" applyFill="1" applyBorder="1" applyAlignment="1">
      <alignment horizontal="center" vertical="center"/>
    </xf>
    <xf numFmtId="173" fontId="28" fillId="0" borderId="1" xfId="0" applyNumberFormat="1" applyFont="1" applyBorder="1"/>
    <xf numFmtId="0" fontId="4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7" fontId="29" fillId="0" borderId="0" xfId="0" applyNumberFormat="1" applyFont="1" applyBorder="1" applyAlignment="1"/>
    <xf numFmtId="167" fontId="29" fillId="0" borderId="0" xfId="0" applyNumberFormat="1" applyFont="1" applyBorder="1"/>
    <xf numFmtId="0" fontId="3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10" fillId="0" borderId="1" xfId="6" applyNumberFormat="1" applyFont="1" applyFill="1" applyBorder="1" applyAlignment="1">
      <alignment horizontal="center"/>
    </xf>
    <xf numFmtId="4" fontId="29" fillId="0" borderId="1" xfId="6" applyNumberFormat="1" applyFont="1" applyBorder="1" applyAlignment="1">
      <alignment horizontal="center"/>
    </xf>
    <xf numFmtId="4" fontId="28" fillId="0" borderId="1" xfId="6" applyNumberFormat="1" applyFont="1" applyBorder="1" applyAlignment="1">
      <alignment horizontal="center"/>
    </xf>
    <xf numFmtId="171" fontId="9" fillId="0" borderId="1" xfId="9" applyNumberFormat="1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4" fontId="5" fillId="0" borderId="1" xfId="4" applyNumberFormat="1" applyFont="1" applyFill="1" applyBorder="1" applyAlignment="1">
      <alignment horizontal="left" wrapText="1"/>
    </xf>
    <xf numFmtId="4" fontId="16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71" fontId="9" fillId="0" borderId="1" xfId="9" applyNumberFormat="1" applyFont="1" applyFill="1" applyBorder="1" applyAlignment="1"/>
    <xf numFmtId="3" fontId="16" fillId="0" borderId="1" xfId="3" applyNumberFormat="1" applyFont="1" applyFill="1" applyBorder="1" applyAlignment="1"/>
    <xf numFmtId="10" fontId="9" fillId="0" borderId="1" xfId="9" applyNumberFormat="1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170" fontId="18" fillId="0" borderId="0" xfId="9" applyNumberFormat="1" applyFont="1" applyFill="1" applyBorder="1" applyAlignment="1">
      <alignment horizontal="center"/>
    </xf>
    <xf numFmtId="170" fontId="16" fillId="0" borderId="0" xfId="3" applyNumberFormat="1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 vertical="center"/>
    </xf>
    <xf numFmtId="3" fontId="19" fillId="0" borderId="1" xfId="3" applyNumberFormat="1" applyFont="1" applyFill="1" applyBorder="1" applyAlignment="1">
      <alignment horizontal="center" vertical="center" wrapText="1"/>
    </xf>
    <xf numFmtId="3" fontId="19" fillId="0" borderId="0" xfId="3" applyNumberFormat="1" applyFont="1" applyFill="1" applyBorder="1" applyAlignment="1">
      <alignment vertical="center" wrapText="1"/>
    </xf>
    <xf numFmtId="0" fontId="19" fillId="0" borderId="0" xfId="3" applyFont="1" applyFill="1"/>
    <xf numFmtId="3" fontId="19" fillId="0" borderId="0" xfId="3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/>
    </xf>
    <xf numFmtId="167" fontId="16" fillId="0" borderId="0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4" fontId="5" fillId="0" borderId="1" xfId="4" applyNumberFormat="1" applyFont="1" applyFill="1" applyBorder="1" applyAlignment="1">
      <alignment wrapText="1"/>
    </xf>
    <xf numFmtId="0" fontId="8" fillId="0" borderId="0" xfId="3" applyFont="1" applyFill="1" applyBorder="1" applyAlignment="1">
      <alignment vertical="center" wrapText="1"/>
    </xf>
    <xf numFmtId="0" fontId="25" fillId="0" borderId="0" xfId="3" applyFont="1" applyAlignment="1">
      <alignment horizontal="center"/>
    </xf>
    <xf numFmtId="0" fontId="24" fillId="0" borderId="0" xfId="3" applyFont="1" applyFill="1" applyBorder="1"/>
    <xf numFmtId="4" fontId="24" fillId="0" borderId="0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/>
    </xf>
    <xf numFmtId="167" fontId="24" fillId="0" borderId="0" xfId="3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32" fillId="0" borderId="1" xfId="11" applyFont="1" applyFill="1" applyBorder="1"/>
    <xf numFmtId="0" fontId="32" fillId="0" borderId="5" xfId="11" applyFont="1" applyFill="1" applyBorder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 wrapText="1"/>
    </xf>
    <xf numFmtId="0" fontId="32" fillId="0" borderId="1" xfId="11" applyFont="1" applyFill="1" applyBorder="1" applyAlignment="1">
      <alignment wrapText="1"/>
    </xf>
    <xf numFmtId="0" fontId="32" fillId="0" borderId="1" xfId="11" applyFont="1" applyFill="1" applyBorder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1" xfId="11" applyFont="1" applyFill="1" applyBorder="1" applyAlignment="1">
      <alignment horizontal="center" vertical="center"/>
    </xf>
    <xf numFmtId="2" fontId="32" fillId="0" borderId="1" xfId="11" applyNumberFormat="1" applyFont="1" applyFill="1" applyBorder="1" applyAlignment="1">
      <alignment horizontal="center" vertical="center"/>
    </xf>
    <xf numFmtId="166" fontId="32" fillId="0" borderId="1" xfId="11" applyNumberFormat="1" applyFont="1" applyFill="1" applyBorder="1" applyAlignment="1">
      <alignment horizontal="center" vertical="center"/>
    </xf>
    <xf numFmtId="0" fontId="32" fillId="0" borderId="1" xfId="11" applyFont="1" applyFill="1" applyBorder="1" applyAlignment="1">
      <alignment horizontal="center" vertical="center"/>
    </xf>
    <xf numFmtId="164" fontId="32" fillId="0" borderId="1" xfId="11" applyNumberFormat="1" applyFont="1" applyFill="1" applyBorder="1" applyAlignment="1">
      <alignment horizontal="center" vertical="center"/>
    </xf>
    <xf numFmtId="43" fontId="32" fillId="0" borderId="1" xfId="13" applyFont="1" applyFill="1" applyBorder="1" applyAlignment="1">
      <alignment horizontal="center" vertical="center"/>
    </xf>
    <xf numFmtId="43" fontId="32" fillId="0" borderId="1" xfId="13" applyFont="1" applyFill="1" applyBorder="1"/>
    <xf numFmtId="43" fontId="32" fillId="0" borderId="1" xfId="13" applyFont="1" applyFill="1" applyBorder="1" applyAlignment="1">
      <alignment vertical="center"/>
    </xf>
    <xf numFmtId="164" fontId="32" fillId="0" borderId="1" xfId="11" applyNumberFormat="1" applyFont="1" applyFill="1" applyBorder="1"/>
    <xf numFmtId="43" fontId="32" fillId="0" borderId="1" xfId="13" applyNumberFormat="1" applyFont="1" applyFill="1" applyBorder="1"/>
    <xf numFmtId="167" fontId="10" fillId="0" borderId="1" xfId="0" applyNumberFormat="1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0" fontId="33" fillId="0" borderId="5" xfId="1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" fontId="10" fillId="0" borderId="8" xfId="3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7" fontId="13" fillId="0" borderId="1" xfId="3" applyNumberFormat="1" applyFont="1" applyFill="1" applyBorder="1"/>
    <xf numFmtId="167" fontId="24" fillId="0" borderId="1" xfId="3" applyNumberFormat="1" applyFont="1" applyFill="1" applyBorder="1"/>
    <xf numFmtId="0" fontId="13" fillId="0" borderId="1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left" vertical="top"/>
    </xf>
    <xf numFmtId="174" fontId="10" fillId="0" borderId="1" xfId="8" applyNumberFormat="1" applyFont="1" applyFill="1" applyBorder="1"/>
    <xf numFmtId="4" fontId="12" fillId="0" borderId="1" xfId="4" applyNumberFormat="1" applyFont="1" applyFill="1" applyBorder="1" applyAlignment="1">
      <alignment horizontal="left"/>
    </xf>
    <xf numFmtId="174" fontId="12" fillId="0" borderId="1" xfId="8" applyNumberFormat="1" applyFont="1" applyFill="1" applyBorder="1"/>
    <xf numFmtId="0" fontId="29" fillId="0" borderId="1" xfId="4" applyFont="1" applyFill="1" applyBorder="1" applyAlignment="1">
      <alignment horizontal="left" wrapText="1"/>
    </xf>
    <xf numFmtId="43" fontId="10" fillId="0" borderId="1" xfId="8" applyNumberFormat="1" applyFont="1" applyFill="1" applyBorder="1"/>
    <xf numFmtId="43" fontId="10" fillId="0" borderId="1" xfId="15" applyFont="1" applyFill="1" applyBorder="1"/>
    <xf numFmtId="43" fontId="29" fillId="0" borderId="1" xfId="15" applyFont="1" applyFill="1" applyBorder="1" applyAlignment="1">
      <alignment horizontal="left" wrapText="1"/>
    </xf>
    <xf numFmtId="43" fontId="28" fillId="0" borderId="1" xfId="15" applyFont="1" applyFill="1" applyBorder="1" applyAlignment="1">
      <alignment horizontal="left" wrapText="1"/>
    </xf>
    <xf numFmtId="173" fontId="10" fillId="0" borderId="1" xfId="8" applyNumberFormat="1" applyFont="1" applyFill="1" applyBorder="1"/>
    <xf numFmtId="173" fontId="10" fillId="0" borderId="1" xfId="15" applyNumberFormat="1" applyFont="1" applyFill="1" applyBorder="1"/>
    <xf numFmtId="4" fontId="10" fillId="0" borderId="0" xfId="4" applyNumberFormat="1" applyFont="1" applyFill="1" applyBorder="1" applyAlignment="1">
      <alignment horizontal="left" vertical="top"/>
    </xf>
    <xf numFmtId="43" fontId="12" fillId="0" borderId="0" xfId="8" applyFont="1" applyFill="1" applyBorder="1" applyAlignment="1"/>
    <xf numFmtId="4" fontId="12" fillId="0" borderId="1" xfId="4" applyNumberFormat="1" applyFont="1" applyFill="1" applyBorder="1" applyAlignment="1">
      <alignment horizontal="center" vertical="center" wrapText="1"/>
    </xf>
    <xf numFmtId="43" fontId="12" fillId="0" borderId="1" xfId="8" applyFont="1" applyFill="1" applyBorder="1" applyAlignment="1">
      <alignment horizontal="center" vertical="center" wrapText="1"/>
    </xf>
    <xf numFmtId="43" fontId="12" fillId="0" borderId="1" xfId="8" applyFont="1" applyFill="1" applyBorder="1" applyAlignment="1">
      <alignment horizontal="center" vertical="center"/>
    </xf>
    <xf numFmtId="173" fontId="12" fillId="0" borderId="1" xfId="8" applyNumberFormat="1" applyFont="1" applyFill="1" applyBorder="1" applyAlignment="1">
      <alignment horizontal="center"/>
    </xf>
    <xf numFmtId="173" fontId="10" fillId="0" borderId="1" xfId="8" applyNumberFormat="1" applyFont="1" applyFill="1" applyBorder="1" applyAlignment="1"/>
    <xf numFmtId="0" fontId="22" fillId="0" borderId="0" xfId="3" applyFont="1" applyFill="1"/>
    <xf numFmtId="0" fontId="12" fillId="0" borderId="0" xfId="3" applyFont="1" applyFill="1" applyAlignment="1">
      <alignment horizontal="center" wrapText="1"/>
    </xf>
    <xf numFmtId="0" fontId="45" fillId="0" borderId="0" xfId="3" applyFont="1" applyFill="1" applyAlignment="1">
      <alignment horizontal="right"/>
    </xf>
    <xf numFmtId="164" fontId="11" fillId="0" borderId="0" xfId="3" applyNumberFormat="1" applyFont="1" applyFill="1"/>
    <xf numFmtId="0" fontId="33" fillId="0" borderId="1" xfId="11" applyFont="1" applyFill="1" applyBorder="1" applyAlignment="1">
      <alignment horizontal="center"/>
    </xf>
    <xf numFmtId="2" fontId="32" fillId="0" borderId="1" xfId="11" applyNumberFormat="1" applyFont="1" applyFill="1" applyBorder="1" applyAlignment="1">
      <alignment horizontal="center"/>
    </xf>
    <xf numFmtId="166" fontId="32" fillId="0" borderId="1" xfId="11" applyNumberFormat="1" applyFont="1" applyFill="1" applyBorder="1" applyAlignment="1">
      <alignment horizontal="center"/>
    </xf>
    <xf numFmtId="164" fontId="32" fillId="0" borderId="1" xfId="11" applyNumberFormat="1" applyFont="1" applyFill="1" applyBorder="1" applyAlignment="1">
      <alignment horizontal="center"/>
    </xf>
    <xf numFmtId="43" fontId="32" fillId="0" borderId="1" xfId="13" applyFont="1" applyFill="1" applyBorder="1" applyAlignment="1">
      <alignment horizontal="center"/>
    </xf>
    <xf numFmtId="0" fontId="32" fillId="0" borderId="1" xfId="11" applyFont="1" applyFill="1" applyBorder="1" applyAlignment="1"/>
    <xf numFmtId="43" fontId="32" fillId="0" borderId="1" xfId="13" applyFont="1" applyFill="1" applyBorder="1" applyAlignment="1"/>
    <xf numFmtId="164" fontId="32" fillId="0" borderId="1" xfId="11" applyNumberFormat="1" applyFont="1" applyFill="1" applyBorder="1" applyAlignment="1"/>
    <xf numFmtId="43" fontId="32" fillId="0" borderId="1" xfId="13" applyNumberFormat="1" applyFont="1" applyFill="1" applyBorder="1" applyAlignment="1"/>
    <xf numFmtId="0" fontId="37" fillId="0" borderId="0" xfId="3" applyFont="1" applyFill="1" applyAlignment="1">
      <alignment vertical="center"/>
    </xf>
    <xf numFmtId="0" fontId="11" fillId="0" borderId="0" xfId="12" applyFont="1" applyFill="1"/>
    <xf numFmtId="0" fontId="37" fillId="0" borderId="0" xfId="12" applyFont="1" applyFill="1" applyAlignment="1"/>
    <xf numFmtId="0" fontId="11" fillId="0" borderId="0" xfId="12" applyFont="1" applyFill="1" applyAlignment="1"/>
    <xf numFmtId="0" fontId="22" fillId="0" borderId="0" xfId="12" applyFont="1" applyFill="1" applyAlignment="1"/>
    <xf numFmtId="0" fontId="22" fillId="0" borderId="0" xfId="12" applyFont="1" applyFill="1"/>
    <xf numFmtId="0" fontId="12" fillId="0" borderId="0" xfId="12" applyFont="1" applyFill="1" applyAlignment="1">
      <alignment horizontal="center" vertical="top" wrapText="1"/>
    </xf>
    <xf numFmtId="0" fontId="32" fillId="0" borderId="0" xfId="11" applyFont="1" applyAlignment="1">
      <alignment horizontal="right" vertical="center" wrapText="1"/>
    </xf>
    <xf numFmtId="0" fontId="12" fillId="0" borderId="0" xfId="3" applyFont="1" applyFill="1"/>
    <xf numFmtId="0" fontId="12" fillId="0" borderId="0" xfId="3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 applyAlignment="1" applyProtection="1">
      <alignment horizontal="center"/>
      <protection locked="0"/>
    </xf>
    <xf numFmtId="168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46" fillId="0" borderId="0" xfId="0" applyFont="1" applyFill="1"/>
    <xf numFmtId="0" fontId="10" fillId="0" borderId="0" xfId="12" applyFont="1" applyFill="1"/>
    <xf numFmtId="0" fontId="10" fillId="0" borderId="0" xfId="12" applyFont="1" applyFill="1" applyAlignment="1">
      <alignment horizontal="left" wrapText="1"/>
    </xf>
    <xf numFmtId="0" fontId="10" fillId="0" borderId="0" xfId="12" applyFont="1" applyFill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43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top" wrapText="1"/>
    </xf>
    <xf numFmtId="167" fontId="29" fillId="0" borderId="1" xfId="6" applyNumberFormat="1" applyFont="1" applyFill="1" applyBorder="1" applyAlignment="1">
      <alignment horizontal="center" vertical="center"/>
    </xf>
    <xf numFmtId="43" fontId="29" fillId="0" borderId="1" xfId="6" applyFont="1" applyFill="1" applyBorder="1" applyAlignment="1">
      <alignment horizontal="center" vertical="top" wrapText="1"/>
    </xf>
    <xf numFmtId="0" fontId="43" fillId="0" borderId="0" xfId="0" applyFont="1" applyFill="1"/>
    <xf numFmtId="3" fontId="10" fillId="0" borderId="1" xfId="0" applyNumberFormat="1" applyFont="1" applyFill="1" applyBorder="1" applyAlignment="1">
      <alignment horizontal="center" vertical="top" wrapText="1"/>
    </xf>
    <xf numFmtId="43" fontId="43" fillId="0" borderId="1" xfId="6" applyFont="1" applyFill="1" applyBorder="1" applyAlignment="1">
      <alignment horizontal="center"/>
    </xf>
    <xf numFmtId="43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right" vertical="top" wrapText="1" indent="2"/>
    </xf>
    <xf numFmtId="167" fontId="10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 indent="2"/>
    </xf>
    <xf numFmtId="167" fontId="29" fillId="0" borderId="1" xfId="0" applyNumberFormat="1" applyFont="1" applyFill="1" applyBorder="1" applyAlignment="1">
      <alignment horizontal="right" vertical="top" wrapText="1" indent="2"/>
    </xf>
    <xf numFmtId="0" fontId="29" fillId="0" borderId="1" xfId="0" applyFont="1" applyFill="1" applyBorder="1" applyAlignment="1">
      <alignment horizontal="right" wrapText="1"/>
    </xf>
    <xf numFmtId="167" fontId="29" fillId="0" borderId="1" xfId="0" applyNumberFormat="1" applyFont="1" applyFill="1" applyBorder="1" applyAlignment="1">
      <alignment horizontal="right" wrapText="1"/>
    </xf>
    <xf numFmtId="0" fontId="43" fillId="0" borderId="0" xfId="0" applyFont="1" applyFill="1" applyAlignment="1"/>
    <xf numFmtId="0" fontId="43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2" fillId="0" borderId="0" xfId="12" applyFont="1" applyFill="1"/>
    <xf numFmtId="0" fontId="29" fillId="0" borderId="0" xfId="0" applyFont="1" applyFill="1" applyAlignment="1">
      <alignment horizontal="center" wrapText="1"/>
    </xf>
    <xf numFmtId="3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/>
    <xf numFmtId="0" fontId="28" fillId="0" borderId="0" xfId="0" applyFont="1" applyFill="1"/>
    <xf numFmtId="0" fontId="46" fillId="0" borderId="0" xfId="0" applyFont="1"/>
    <xf numFmtId="0" fontId="22" fillId="0" borderId="0" xfId="0" applyFont="1"/>
    <xf numFmtId="0" fontId="42" fillId="0" borderId="0" xfId="0" applyFont="1"/>
    <xf numFmtId="167" fontId="10" fillId="0" borderId="1" xfId="3" applyNumberFormat="1" applyFont="1" applyFill="1" applyBorder="1" applyAlignment="1">
      <alignment horizontal="right"/>
    </xf>
    <xf numFmtId="167" fontId="29" fillId="0" borderId="1" xfId="0" applyNumberFormat="1" applyFont="1" applyFill="1" applyBorder="1" applyAlignment="1">
      <alignment horizontal="right"/>
    </xf>
    <xf numFmtId="4" fontId="16" fillId="0" borderId="1" xfId="3" applyNumberFormat="1" applyFont="1" applyFill="1" applyBorder="1" applyAlignment="1"/>
    <xf numFmtId="0" fontId="32" fillId="0" borderId="1" xfId="0" applyFont="1" applyFill="1" applyBorder="1" applyAlignment="1">
      <alignment horizontal="center"/>
    </xf>
    <xf numFmtId="167" fontId="29" fillId="0" borderId="1" xfId="6" applyNumberFormat="1" applyFont="1" applyFill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7" fontId="32" fillId="0" borderId="1" xfId="6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166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167" fontId="10" fillId="0" borderId="1" xfId="0" applyNumberFormat="1" applyFont="1" applyFill="1" applyBorder="1" applyAlignment="1"/>
    <xf numFmtId="4" fontId="10" fillId="0" borderId="1" xfId="4" applyNumberFormat="1" applyFont="1" applyFill="1" applyBorder="1" applyAlignment="1">
      <alignment horizontal="left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167" fontId="10" fillId="0" borderId="1" xfId="1" applyNumberFormat="1" applyFont="1" applyFill="1" applyBorder="1" applyAlignment="1">
      <alignment horizont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right" wrapText="1"/>
    </xf>
    <xf numFmtId="167" fontId="10" fillId="0" borderId="1" xfId="1" applyNumberFormat="1" applyFont="1" applyFill="1" applyBorder="1" applyAlignment="1">
      <alignment horizontal="center"/>
    </xf>
    <xf numFmtId="167" fontId="13" fillId="6" borderId="5" xfId="0" applyNumberFormat="1" applyFont="1" applyFill="1" applyBorder="1" applyAlignment="1">
      <alignment horizontal="center" vertical="center" wrapText="1"/>
    </xf>
    <xf numFmtId="167" fontId="5" fillId="6" borderId="8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/>
    <xf numFmtId="16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167" fontId="7" fillId="6" borderId="8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/>
    <xf numFmtId="49" fontId="13" fillId="6" borderId="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0" fillId="0" borderId="2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7" fontId="7" fillId="0" borderId="8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16" fillId="0" borderId="0" xfId="1" applyFont="1" applyFill="1" applyAlignment="1">
      <alignment horizontal="right" wrapText="1"/>
    </xf>
    <xf numFmtId="0" fontId="49" fillId="0" borderId="0" xfId="0" applyFont="1" applyFill="1"/>
    <xf numFmtId="167" fontId="10" fillId="0" borderId="0" xfId="1" applyNumberFormat="1" applyFont="1" applyFill="1" applyBorder="1" applyAlignment="1">
      <alignment horizontal="center" vertical="center" wrapText="1"/>
    </xf>
    <xf numFmtId="167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left" wrapText="1"/>
    </xf>
    <xf numFmtId="0" fontId="50" fillId="0" borderId="0" xfId="1" applyFont="1" applyFill="1" applyAlignment="1">
      <alignment horizontal="center" wrapText="1"/>
    </xf>
    <xf numFmtId="167" fontId="10" fillId="0" borderId="1" xfId="1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/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52" fillId="0" borderId="0" xfId="20" applyFont="1" applyFill="1" applyAlignment="1">
      <alignment vertical="center" wrapText="1"/>
    </xf>
    <xf numFmtId="167" fontId="10" fillId="0" borderId="1" xfId="20" applyNumberFormat="1" applyFont="1" applyFill="1" applyBorder="1" applyAlignment="1">
      <alignment horizontal="center" wrapText="1"/>
    </xf>
    <xf numFmtId="167" fontId="52" fillId="0" borderId="1" xfId="20" applyNumberFormat="1" applyFont="1" applyFill="1" applyBorder="1" applyAlignment="1">
      <alignment horizontal="center" wrapText="1"/>
    </xf>
    <xf numFmtId="0" fontId="52" fillId="0" borderId="1" xfId="20" applyFont="1" applyFill="1" applyBorder="1" applyAlignment="1">
      <alignment horizontal="center" wrapText="1"/>
    </xf>
    <xf numFmtId="0" fontId="52" fillId="0" borderId="1" xfId="20" applyFont="1" applyFill="1" applyBorder="1" applyAlignment="1">
      <alignment horizontal="left" wrapText="1"/>
    </xf>
    <xf numFmtId="0" fontId="29" fillId="0" borderId="8" xfId="20" applyFont="1" applyFill="1" applyBorder="1" applyAlignment="1">
      <alignment horizontal="center" vertical="center" wrapText="1"/>
    </xf>
    <xf numFmtId="0" fontId="52" fillId="0" borderId="1" xfId="20" applyFont="1" applyFill="1" applyBorder="1" applyAlignment="1">
      <alignment horizontal="center" vertical="center" wrapText="1"/>
    </xf>
    <xf numFmtId="0" fontId="52" fillId="0" borderId="0" xfId="20" applyFont="1" applyFill="1" applyBorder="1" applyAlignment="1">
      <alignment horizontal="right" vertical="center" wrapText="1"/>
    </xf>
    <xf numFmtId="0" fontId="52" fillId="0" borderId="0" xfId="20" applyFont="1" applyFill="1" applyBorder="1" applyAlignment="1">
      <alignment horizontal="center" vertical="center" wrapText="1"/>
    </xf>
    <xf numFmtId="0" fontId="10" fillId="0" borderId="0" xfId="1" applyFont="1"/>
    <xf numFmtId="0" fontId="29" fillId="0" borderId="1" xfId="1" applyFont="1" applyBorder="1" applyAlignment="1">
      <alignment horizontal="center"/>
    </xf>
    <xf numFmtId="167" fontId="29" fillId="0" borderId="1" xfId="21" applyNumberFormat="1" applyFont="1" applyBorder="1" applyAlignment="1">
      <alignment horizontal="center"/>
    </xf>
    <xf numFmtId="43" fontId="29" fillId="0" borderId="1" xfId="21" applyFont="1" applyFill="1" applyBorder="1" applyAlignment="1">
      <alignment horizontal="center"/>
    </xf>
    <xf numFmtId="0" fontId="52" fillId="0" borderId="1" xfId="1" applyFont="1" applyFill="1" applyBorder="1" applyAlignment="1">
      <alignment wrapText="1"/>
    </xf>
    <xf numFmtId="0" fontId="52" fillId="0" borderId="1" xfId="1" applyFont="1" applyFill="1" applyBorder="1"/>
    <xf numFmtId="0" fontId="10" fillId="0" borderId="0" xfId="1" applyFont="1" applyAlignment="1">
      <alignment horizontal="center"/>
    </xf>
    <xf numFmtId="0" fontId="29" fillId="0" borderId="1" xfId="1" applyFont="1" applyBorder="1" applyAlignment="1">
      <alignment horizontal="center" vertical="top" wrapText="1"/>
    </xf>
    <xf numFmtId="1" fontId="10" fillId="0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165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52" fillId="0" borderId="0" xfId="0" applyFont="1" applyFill="1" applyAlignment="1">
      <alignment wrapText="1"/>
    </xf>
    <xf numFmtId="0" fontId="54" fillId="0" borderId="0" xfId="0" applyFont="1" applyFill="1"/>
    <xf numFmtId="1" fontId="54" fillId="0" borderId="0" xfId="0" applyNumberFormat="1" applyFont="1" applyFill="1"/>
    <xf numFmtId="2" fontId="10" fillId="0" borderId="0" xfId="0" applyNumberFormat="1" applyFont="1" applyFill="1"/>
    <xf numFmtId="167" fontId="52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52" fillId="0" borderId="1" xfId="0" applyNumberFormat="1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/>
    <xf numFmtId="0" fontId="10" fillId="0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wrapText="1"/>
    </xf>
    <xf numFmtId="0" fontId="10" fillId="0" borderId="0" xfId="0" applyFont="1" applyFill="1" applyAlignment="1"/>
    <xf numFmtId="1" fontId="10" fillId="0" borderId="0" xfId="0" applyNumberFormat="1" applyFont="1" applyFill="1" applyAlignment="1"/>
    <xf numFmtId="0" fontId="10" fillId="0" borderId="12" xfId="0" applyFont="1" applyFill="1" applyBorder="1" applyAlignment="1"/>
    <xf numFmtId="0" fontId="53" fillId="0" borderId="2" xfId="0" applyFont="1" applyFill="1" applyBorder="1" applyAlignment="1"/>
    <xf numFmtId="0" fontId="53" fillId="0" borderId="13" xfId="0" applyFont="1" applyFill="1" applyBorder="1" applyAlignment="1"/>
    <xf numFmtId="17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0" fontId="10" fillId="0" borderId="1" xfId="21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6" fontId="10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/>
    </xf>
    <xf numFmtId="0" fontId="32" fillId="6" borderId="1" xfId="0" applyFont="1" applyFill="1" applyBorder="1" applyAlignment="1">
      <alignment horizontal="left" vertical="center"/>
    </xf>
    <xf numFmtId="0" fontId="32" fillId="6" borderId="1" xfId="0" applyFont="1" applyFill="1" applyBorder="1"/>
    <xf numFmtId="167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167" fontId="32" fillId="0" borderId="0" xfId="0" applyNumberFormat="1" applyFont="1" applyBorder="1" applyAlignment="1">
      <alignment horizontal="center"/>
    </xf>
    <xf numFmtId="0" fontId="0" fillId="0" borderId="0" xfId="0" applyBorder="1"/>
    <xf numFmtId="167" fontId="7" fillId="7" borderId="1" xfId="0" applyNumberFormat="1" applyFont="1" applyFill="1" applyBorder="1" applyAlignment="1">
      <alignment horizontal="center" vertical="center" wrapText="1"/>
    </xf>
    <xf numFmtId="167" fontId="7" fillId="7" borderId="8" xfId="0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10" fillId="0" borderId="0" xfId="1" applyFont="1" applyFill="1" applyAlignment="1">
      <alignment horizontal="center"/>
    </xf>
    <xf numFmtId="166" fontId="10" fillId="0" borderId="0" xfId="1" applyNumberFormat="1" applyFont="1" applyFill="1" applyAlignment="1">
      <alignment horizontal="center"/>
    </xf>
    <xf numFmtId="173" fontId="10" fillId="0" borderId="1" xfId="1" applyNumberFormat="1" applyFont="1" applyFill="1" applyBorder="1" applyAlignment="1">
      <alignment horizontal="center"/>
    </xf>
    <xf numFmtId="173" fontId="10" fillId="0" borderId="1" xfId="2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166" fontId="10" fillId="0" borderId="0" xfId="1" applyNumberFormat="1" applyFont="1" applyFill="1" applyAlignment="1"/>
    <xf numFmtId="173" fontId="10" fillId="0" borderId="0" xfId="1" applyNumberFormat="1" applyFont="1" applyFill="1" applyAlignment="1"/>
    <xf numFmtId="0" fontId="10" fillId="0" borderId="4" xfId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167" fontId="10" fillId="0" borderId="4" xfId="1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wrapText="1"/>
    </xf>
    <xf numFmtId="177" fontId="10" fillId="0" borderId="1" xfId="21" applyNumberFormat="1" applyFont="1" applyFill="1" applyBorder="1" applyAlignment="1">
      <alignment horizontal="center" wrapText="1"/>
    </xf>
    <xf numFmtId="43" fontId="10" fillId="0" borderId="4" xfId="21" applyNumberFormat="1" applyFont="1" applyFill="1" applyBorder="1" applyAlignment="1">
      <alignment horizontal="right" wrapText="1"/>
    </xf>
    <xf numFmtId="178" fontId="10" fillId="0" borderId="1" xfId="21" applyNumberFormat="1" applyFont="1" applyFill="1" applyBorder="1" applyAlignment="1">
      <alignment horizontal="center" wrapText="1"/>
    </xf>
    <xf numFmtId="0" fontId="56" fillId="0" borderId="1" xfId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173" fontId="56" fillId="8" borderId="1" xfId="21" applyNumberFormat="1" applyFont="1" applyFill="1" applyBorder="1" applyAlignment="1">
      <alignment horizontal="right" wrapText="1"/>
    </xf>
    <xf numFmtId="0" fontId="56" fillId="8" borderId="1" xfId="0" applyFont="1" applyFill="1" applyBorder="1" applyAlignment="1">
      <alignment horizontal="left" wrapText="1"/>
    </xf>
    <xf numFmtId="173" fontId="10" fillId="6" borderId="1" xfId="21" applyNumberFormat="1" applyFont="1" applyFill="1" applyBorder="1" applyAlignment="1">
      <alignment horizontal="right" vertical="top" wrapText="1"/>
    </xf>
    <xf numFmtId="173" fontId="10" fillId="0" borderId="1" xfId="21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top" wrapText="1"/>
    </xf>
    <xf numFmtId="173" fontId="10" fillId="0" borderId="1" xfId="21" applyNumberFormat="1" applyFont="1" applyFill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right" vertical="center"/>
    </xf>
    <xf numFmtId="43" fontId="10" fillId="0" borderId="1" xfId="21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43" fontId="10" fillId="0" borderId="16" xfId="21" applyNumberFormat="1" applyFont="1" applyBorder="1" applyAlignment="1">
      <alignment horizontal="right" vertical="top" wrapText="1"/>
    </xf>
    <xf numFmtId="173" fontId="10" fillId="0" borderId="17" xfId="21" applyNumberFormat="1" applyFont="1" applyBorder="1" applyAlignment="1">
      <alignment horizontal="right" vertical="top" wrapText="1"/>
    </xf>
    <xf numFmtId="173" fontId="10" fillId="0" borderId="18" xfId="21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73" fontId="10" fillId="0" borderId="20" xfId="21" applyNumberFormat="1" applyFont="1" applyBorder="1" applyAlignment="1">
      <alignment horizontal="right" vertical="top" wrapText="1"/>
    </xf>
    <xf numFmtId="173" fontId="10" fillId="0" borderId="9" xfId="21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73" fontId="10" fillId="0" borderId="22" xfId="21" applyNumberFormat="1" applyFont="1" applyFill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43" fontId="10" fillId="0" borderId="4" xfId="21" applyNumberFormat="1" applyFont="1" applyFill="1" applyBorder="1" applyAlignment="1">
      <alignment horizontal="right" vertical="top" wrapText="1"/>
    </xf>
    <xf numFmtId="173" fontId="10" fillId="0" borderId="22" xfId="21" applyNumberFormat="1" applyFont="1" applyBorder="1" applyAlignment="1">
      <alignment horizontal="right" vertical="top" wrapText="1"/>
    </xf>
    <xf numFmtId="0" fontId="10" fillId="8" borderId="4" xfId="0" applyFont="1" applyFill="1" applyBorder="1" applyAlignment="1">
      <alignment vertical="top" wrapText="1"/>
    </xf>
    <xf numFmtId="173" fontId="10" fillId="8" borderId="24" xfId="21" applyNumberFormat="1" applyFont="1" applyFill="1" applyBorder="1" applyAlignment="1">
      <alignment horizontal="right" vertical="top" wrapText="1"/>
    </xf>
    <xf numFmtId="173" fontId="10" fillId="8" borderId="25" xfId="21" applyNumberFormat="1" applyFont="1" applyFill="1" applyBorder="1" applyAlignment="1">
      <alignment horizontal="right" vertical="top" wrapText="1"/>
    </xf>
    <xf numFmtId="0" fontId="56" fillId="8" borderId="26" xfId="0" applyFont="1" applyFill="1" applyBorder="1" applyAlignment="1">
      <alignment vertical="top" wrapText="1"/>
    </xf>
    <xf numFmtId="173" fontId="10" fillId="0" borderId="12" xfId="21" applyNumberFormat="1" applyFont="1" applyBorder="1" applyAlignment="1">
      <alignment horizontal="right" vertical="top"/>
    </xf>
    <xf numFmtId="173" fontId="10" fillId="0" borderId="12" xfId="21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0" fontId="56" fillId="8" borderId="27" xfId="0" applyFont="1" applyFill="1" applyBorder="1" applyAlignment="1">
      <alignment vertical="top" wrapText="1"/>
    </xf>
    <xf numFmtId="43" fontId="10" fillId="0" borderId="6" xfId="21" applyNumberFormat="1" applyFont="1" applyBorder="1" applyAlignment="1">
      <alignment horizontal="right" vertical="top" wrapText="1"/>
    </xf>
    <xf numFmtId="173" fontId="10" fillId="0" borderId="10" xfId="21" applyNumberFormat="1" applyFont="1" applyBorder="1" applyAlignment="1">
      <alignment horizontal="right" vertical="top" wrapText="1"/>
    </xf>
    <xf numFmtId="176" fontId="10" fillId="0" borderId="0" xfId="0" applyNumberFormat="1" applyFont="1" applyAlignment="1">
      <alignment vertical="top"/>
    </xf>
    <xf numFmtId="0" fontId="10" fillId="0" borderId="9" xfId="0" applyFont="1" applyBorder="1" applyAlignment="1">
      <alignment horizontal="left" vertical="top" wrapText="1" indent="2"/>
    </xf>
    <xf numFmtId="173" fontId="56" fillId="0" borderId="1" xfId="21" applyNumberFormat="1" applyFont="1" applyBorder="1" applyAlignment="1">
      <alignment horizontal="right" vertical="top" wrapText="1"/>
    </xf>
    <xf numFmtId="0" fontId="56" fillId="0" borderId="1" xfId="0" applyFont="1" applyBorder="1" applyAlignment="1">
      <alignment vertical="top" wrapText="1"/>
    </xf>
    <xf numFmtId="174" fontId="56" fillId="0" borderId="1" xfId="2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" fontId="12" fillId="0" borderId="1" xfId="12" applyNumberFormat="1" applyFont="1" applyFill="1" applyBorder="1"/>
    <xf numFmtId="4" fontId="12" fillId="0" borderId="1" xfId="12" applyNumberFormat="1" applyFont="1" applyFill="1" applyBorder="1" applyAlignment="1">
      <alignment horizontal="center"/>
    </xf>
    <xf numFmtId="0" fontId="12" fillId="0" borderId="1" xfId="12" applyFont="1" applyFill="1" applyBorder="1" applyAlignment="1">
      <alignment wrapText="1"/>
    </xf>
    <xf numFmtId="4" fontId="10" fillId="0" borderId="1" xfId="12" applyNumberFormat="1" applyFont="1" applyFill="1" applyBorder="1"/>
    <xf numFmtId="4" fontId="10" fillId="0" borderId="1" xfId="12" applyNumberFormat="1" applyFont="1" applyFill="1" applyBorder="1" applyProtection="1">
      <protection locked="0"/>
    </xf>
    <xf numFmtId="4" fontId="10" fillId="0" borderId="1" xfId="12" applyNumberFormat="1" applyFont="1" applyFill="1" applyBorder="1" applyAlignment="1" applyProtection="1">
      <alignment horizontal="center"/>
      <protection locked="0"/>
    </xf>
    <xf numFmtId="0" fontId="10" fillId="0" borderId="1" xfId="12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4" fontId="12" fillId="0" borderId="0" xfId="0" applyNumberFormat="1" applyFont="1"/>
    <xf numFmtId="4" fontId="5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" fontId="0" fillId="0" borderId="0" xfId="0" applyNumberFormat="1"/>
    <xf numFmtId="4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0" fillId="0" borderId="0" xfId="0" applyAlignment="1">
      <alignment shrinkToFit="1"/>
    </xf>
    <xf numFmtId="0" fontId="0" fillId="0" borderId="10" xfId="0" applyBorder="1"/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4" fontId="59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3" fontId="1" fillId="0" borderId="0" xfId="6" applyFont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/>
    <xf numFmtId="1" fontId="32" fillId="0" borderId="1" xfId="0" applyNumberFormat="1" applyFont="1" applyBorder="1" applyAlignment="1">
      <alignment horizontal="center"/>
    </xf>
    <xf numFmtId="166" fontId="0" fillId="0" borderId="0" xfId="0" applyNumberFormat="1"/>
    <xf numFmtId="0" fontId="32" fillId="0" borderId="1" xfId="0" applyFont="1" applyBorder="1" applyAlignment="1">
      <alignment horizontal="center"/>
    </xf>
    <xf numFmtId="173" fontId="32" fillId="0" borderId="1" xfId="6" applyNumberFormat="1" applyFont="1" applyBorder="1"/>
    <xf numFmtId="0" fontId="32" fillId="0" borderId="1" xfId="0" applyFont="1" applyBorder="1" applyAlignment="1">
      <alignment horizontal="right"/>
    </xf>
    <xf numFmtId="173" fontId="32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166" fontId="32" fillId="0" borderId="0" xfId="0" applyNumberFormat="1" applyFont="1"/>
    <xf numFmtId="0" fontId="33" fillId="0" borderId="1" xfId="0" applyFont="1" applyBorder="1" applyAlignment="1">
      <alignment horizontal="center" vertical="center" wrapText="1"/>
    </xf>
    <xf numFmtId="176" fontId="61" fillId="0" borderId="8" xfId="0" applyNumberFormat="1" applyFont="1" applyBorder="1" applyAlignment="1">
      <alignment horizontal="center" vertical="center"/>
    </xf>
    <xf numFmtId="0" fontId="28" fillId="0" borderId="1" xfId="0" applyFont="1" applyFill="1" applyBorder="1"/>
    <xf numFmtId="167" fontId="28" fillId="0" borderId="1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2" fontId="0" fillId="0" borderId="0" xfId="0" applyNumberFormat="1" applyFont="1"/>
    <xf numFmtId="0" fontId="64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5" fillId="0" borderId="1" xfId="0" applyFont="1" applyFill="1" applyBorder="1"/>
    <xf numFmtId="166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5" xfId="0" applyFont="1" applyFill="1" applyBorder="1"/>
    <xf numFmtId="167" fontId="5" fillId="0" borderId="1" xfId="0" applyNumberFormat="1" applyFont="1" applyBorder="1"/>
    <xf numFmtId="0" fontId="5" fillId="5" borderId="1" xfId="0" applyFont="1" applyFill="1" applyBorder="1"/>
    <xf numFmtId="166" fontId="5" fillId="5" borderId="1" xfId="0" applyNumberFormat="1" applyFont="1" applyFill="1" applyBorder="1"/>
    <xf numFmtId="167" fontId="5" fillId="5" borderId="1" xfId="0" applyNumberFormat="1" applyFont="1" applyFill="1" applyBorder="1"/>
    <xf numFmtId="0" fontId="15" fillId="5" borderId="0" xfId="0" applyFont="1" applyFill="1" applyAlignment="1">
      <alignment horizontal="center" vertical="center"/>
    </xf>
    <xf numFmtId="166" fontId="16" fillId="0" borderId="0" xfId="0" applyNumberFormat="1" applyFont="1"/>
    <xf numFmtId="1" fontId="34" fillId="0" borderId="1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/>
    <xf numFmtId="170" fontId="32" fillId="0" borderId="1" xfId="21" applyNumberFormat="1" applyFont="1" applyFill="1" applyBorder="1" applyAlignment="1">
      <alignment horizontal="center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170" fontId="33" fillId="0" borderId="1" xfId="21" applyNumberFormat="1" applyFont="1" applyFill="1" applyBorder="1" applyAlignment="1">
      <alignment horizontal="center"/>
    </xf>
    <xf numFmtId="170" fontId="46" fillId="6" borderId="0" xfId="0" applyNumberFormat="1" applyFont="1" applyFill="1"/>
    <xf numFmtId="0" fontId="65" fillId="0" borderId="3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justify" wrapText="1"/>
    </xf>
    <xf numFmtId="3" fontId="66" fillId="0" borderId="34" xfId="0" applyNumberFormat="1" applyFont="1" applyFill="1" applyBorder="1" applyAlignment="1">
      <alignment horizontal="center" wrapText="1"/>
    </xf>
    <xf numFmtId="0" fontId="66" fillId="0" borderId="35" xfId="0" applyFont="1" applyFill="1" applyBorder="1" applyAlignment="1">
      <alignment horizontal="center" wrapText="1"/>
    </xf>
    <xf numFmtId="4" fontId="66" fillId="0" borderId="36" xfId="0" applyNumberFormat="1" applyFont="1" applyFill="1" applyBorder="1" applyAlignment="1">
      <alignment horizontal="right" wrapText="1"/>
    </xf>
    <xf numFmtId="0" fontId="66" fillId="0" borderId="34" xfId="0" applyFont="1" applyFill="1" applyBorder="1" applyAlignment="1">
      <alignment horizontal="center" wrapText="1"/>
    </xf>
    <xf numFmtId="4" fontId="66" fillId="0" borderId="37" xfId="0" applyNumberFormat="1" applyFont="1" applyFill="1" applyBorder="1" applyAlignment="1">
      <alignment horizontal="right" wrapText="1"/>
    </xf>
    <xf numFmtId="4" fontId="7" fillId="0" borderId="33" xfId="12" applyNumberFormat="1" applyFont="1" applyFill="1" applyBorder="1" applyAlignment="1"/>
    <xf numFmtId="0" fontId="29" fillId="0" borderId="30" xfId="0" applyFont="1" applyFill="1" applyBorder="1" applyAlignment="1">
      <alignment horizontal="left" wrapText="1"/>
    </xf>
    <xf numFmtId="0" fontId="29" fillId="0" borderId="23" xfId="0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right" wrapText="1"/>
    </xf>
    <xf numFmtId="4" fontId="29" fillId="0" borderId="5" xfId="0" applyNumberFormat="1" applyFont="1" applyFill="1" applyBorder="1" applyAlignment="1">
      <alignment horizontal="right" wrapText="1"/>
    </xf>
    <xf numFmtId="1" fontId="29" fillId="0" borderId="23" xfId="0" applyNumberFormat="1" applyFont="1" applyFill="1" applyBorder="1" applyAlignment="1">
      <alignment horizontal="center" wrapText="1"/>
    </xf>
    <xf numFmtId="4" fontId="10" fillId="0" borderId="30" xfId="12" applyNumberFormat="1" applyFont="1" applyFill="1" applyBorder="1" applyAlignment="1"/>
    <xf numFmtId="0" fontId="29" fillId="0" borderId="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8" fillId="0" borderId="1" xfId="1" applyFont="1" applyFill="1" applyBorder="1"/>
    <xf numFmtId="0" fontId="28" fillId="0" borderId="1" xfId="1" applyFont="1" applyBorder="1" applyAlignment="1">
      <alignment horizontal="center"/>
    </xf>
    <xf numFmtId="4" fontId="28" fillId="0" borderId="1" xfId="1" applyNumberFormat="1" applyFont="1" applyBorder="1" applyAlignment="1">
      <alignment horizontal="center"/>
    </xf>
    <xf numFmtId="167" fontId="10" fillId="0" borderId="0" xfId="0" applyNumberFormat="1" applyFont="1" applyFill="1"/>
    <xf numFmtId="173" fontId="32" fillId="0" borderId="1" xfId="6" applyNumberFormat="1" applyFont="1" applyFill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66" fontId="10" fillId="0" borderId="5" xfId="0" applyNumberFormat="1" applyFont="1" applyBorder="1" applyAlignment="1">
      <alignment horizontal="center" wrapText="1"/>
    </xf>
    <xf numFmtId="166" fontId="10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0" fillId="0" borderId="0" xfId="1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44" fillId="0" borderId="0" xfId="3" applyFont="1" applyAlignment="1">
      <alignment horizont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vertical="center" wrapText="1"/>
    </xf>
    <xf numFmtId="0" fontId="25" fillId="0" borderId="0" xfId="3" applyFont="1" applyAlignment="1">
      <alignment horizontal="center"/>
    </xf>
    <xf numFmtId="0" fontId="24" fillId="0" borderId="9" xfId="3" applyFont="1" applyFill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33" fillId="0" borderId="5" xfId="11" applyFont="1" applyFill="1" applyBorder="1" applyAlignment="1">
      <alignment horizontal="center" vertical="center" wrapText="1"/>
    </xf>
    <xf numFmtId="0" fontId="33" fillId="0" borderId="14" xfId="11" applyFont="1" applyFill="1" applyBorder="1" applyAlignment="1">
      <alignment horizontal="center" vertical="center" wrapText="1"/>
    </xf>
    <xf numFmtId="0" fontId="33" fillId="0" borderId="4" xfId="11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/>
    </xf>
    <xf numFmtId="0" fontId="12" fillId="0" borderId="0" xfId="12" applyFont="1" applyFill="1" applyAlignment="1">
      <alignment horizontal="center" vertical="top" wrapText="1"/>
    </xf>
    <xf numFmtId="0" fontId="33" fillId="0" borderId="5" xfId="11" applyFont="1" applyFill="1" applyBorder="1" applyAlignment="1">
      <alignment horizontal="center" wrapText="1"/>
    </xf>
    <xf numFmtId="0" fontId="33" fillId="0" borderId="14" xfId="11" applyFont="1" applyFill="1" applyBorder="1" applyAlignment="1">
      <alignment horizontal="center" wrapText="1"/>
    </xf>
    <xf numFmtId="0" fontId="33" fillId="0" borderId="4" xfId="11" applyFont="1" applyFill="1" applyBorder="1" applyAlignment="1">
      <alignment horizontal="center" wrapText="1"/>
    </xf>
    <xf numFmtId="0" fontId="33" fillId="0" borderId="5" xfId="11" applyFont="1" applyFill="1" applyBorder="1" applyAlignment="1">
      <alignment horizontal="center" vertical="center"/>
    </xf>
    <xf numFmtId="0" fontId="33" fillId="0" borderId="14" xfId="11" applyFont="1" applyFill="1" applyBorder="1" applyAlignment="1">
      <alignment horizontal="center" vertical="center"/>
    </xf>
    <xf numFmtId="0" fontId="33" fillId="0" borderId="4" xfId="1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wrapText="1"/>
    </xf>
    <xf numFmtId="4" fontId="12" fillId="0" borderId="1" xfId="4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wrapText="1"/>
    </xf>
    <xf numFmtId="0" fontId="12" fillId="0" borderId="0" xfId="3" applyFont="1" applyFill="1" applyAlignment="1">
      <alignment horizontal="center"/>
    </xf>
    <xf numFmtId="3" fontId="12" fillId="0" borderId="1" xfId="4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top" wrapText="1"/>
    </xf>
    <xf numFmtId="0" fontId="32" fillId="0" borderId="0" xfId="11" applyFont="1" applyAlignment="1">
      <alignment horizontal="center" vertical="center" wrapText="1"/>
    </xf>
    <xf numFmtId="49" fontId="10" fillId="5" borderId="9" xfId="7" applyNumberFormat="1" applyFont="1" applyFill="1" applyBorder="1" applyAlignment="1">
      <alignment horizontal="center" vertical="center" wrapText="1"/>
    </xf>
    <xf numFmtId="49" fontId="10" fillId="5" borderId="8" xfId="7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167" fontId="10" fillId="5" borderId="1" xfId="7" applyNumberFormat="1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center" wrapText="1"/>
    </xf>
    <xf numFmtId="0" fontId="10" fillId="0" borderId="0" xfId="3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41" fillId="0" borderId="0" xfId="3" applyFont="1" applyFill="1" applyAlignment="1">
      <alignment horizontal="center" vertical="top" wrapText="1"/>
    </xf>
    <xf numFmtId="0" fontId="41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29" fillId="0" borderId="0" xfId="0" applyFont="1" applyAlignment="1">
      <alignment horizontal="left" wrapText="1"/>
    </xf>
    <xf numFmtId="43" fontId="1" fillId="0" borderId="0" xfId="6" applyFont="1" applyAlignment="1">
      <alignment horizontal="left" vertical="top" wrapText="1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/>
    <xf numFmtId="0" fontId="12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10" fillId="0" borderId="1" xfId="12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9" xfId="12" applyFont="1" applyFill="1" applyBorder="1" applyAlignment="1">
      <alignment horizontal="center" vertical="center" wrapText="1"/>
    </xf>
    <xf numFmtId="0" fontId="12" fillId="0" borderId="8" xfId="12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171" fontId="5" fillId="0" borderId="1" xfId="9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left" wrapText="1"/>
    </xf>
    <xf numFmtId="0" fontId="19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/>
    </xf>
    <xf numFmtId="0" fontId="7" fillId="3" borderId="0" xfId="3" applyFont="1" applyFill="1" applyAlignment="1">
      <alignment horizontal="center" wrapText="1"/>
    </xf>
    <xf numFmtId="0" fontId="7" fillId="3" borderId="0" xfId="3" applyFont="1" applyFill="1" applyBorder="1" applyAlignment="1">
      <alignment horizontal="center" wrapText="1"/>
    </xf>
    <xf numFmtId="0" fontId="7" fillId="3" borderId="0" xfId="3" applyFont="1" applyFill="1" applyAlignment="1">
      <alignment horizontal="center"/>
    </xf>
    <xf numFmtId="0" fontId="5" fillId="0" borderId="13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3" fontId="16" fillId="0" borderId="1" xfId="3" applyNumberFormat="1" applyFont="1" applyFill="1" applyBorder="1" applyAlignment="1">
      <alignment horizontal="center"/>
    </xf>
    <xf numFmtId="4" fontId="16" fillId="0" borderId="1" xfId="3" applyNumberFormat="1" applyFont="1" applyFill="1" applyBorder="1" applyAlignment="1">
      <alignment horizontal="left" wrapText="1"/>
    </xf>
    <xf numFmtId="2" fontId="30" fillId="0" borderId="0" xfId="0" applyNumberFormat="1" applyFont="1" applyAlignment="1">
      <alignment horizontal="center" vertical="top" wrapText="1"/>
    </xf>
    <xf numFmtId="2" fontId="2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6" fillId="0" borderId="1" xfId="5" applyFont="1" applyFill="1" applyBorder="1" applyAlignment="1">
      <alignment horizontal="center" vertical="center" wrapText="1"/>
    </xf>
    <xf numFmtId="2" fontId="28" fillId="3" borderId="0" xfId="0" applyNumberFormat="1" applyFont="1" applyFill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0" fillId="0" borderId="19" xfId="12" applyFont="1" applyFill="1" applyBorder="1" applyAlignment="1">
      <alignment horizontal="center" vertical="top" wrapText="1"/>
    </xf>
    <xf numFmtId="0" fontId="10" fillId="0" borderId="18" xfId="12" applyFont="1" applyFill="1" applyBorder="1" applyAlignment="1">
      <alignment horizontal="center" vertical="top" wrapText="1"/>
    </xf>
    <xf numFmtId="0" fontId="10" fillId="0" borderId="17" xfId="12" applyFont="1" applyFill="1" applyBorder="1" applyAlignment="1">
      <alignment horizontal="center" vertical="top" wrapText="1"/>
    </xf>
    <xf numFmtId="0" fontId="10" fillId="0" borderId="29" xfId="12" applyFont="1" applyFill="1" applyBorder="1" applyAlignment="1">
      <alignment horizontal="center" vertical="top" wrapText="1"/>
    </xf>
    <xf numFmtId="0" fontId="10" fillId="0" borderId="28" xfId="12" applyFont="1" applyFill="1" applyBorder="1" applyAlignment="1">
      <alignment horizontal="center" vertical="center" wrapText="1"/>
    </xf>
    <xf numFmtId="0" fontId="10" fillId="0" borderId="30" xfId="12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67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 wrapText="1"/>
    </xf>
    <xf numFmtId="0" fontId="10" fillId="0" borderId="0" xfId="12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left" vertical="center"/>
    </xf>
    <xf numFmtId="4" fontId="10" fillId="0" borderId="8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center" vertical="center" wrapText="1"/>
    </xf>
    <xf numFmtId="3" fontId="10" fillId="0" borderId="9" xfId="3" applyNumberFormat="1" applyFont="1" applyFill="1" applyBorder="1" applyAlignment="1">
      <alignment horizontal="center" vertical="center" wrapText="1"/>
    </xf>
    <xf numFmtId="3" fontId="10" fillId="0" borderId="8" xfId="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2" fillId="0" borderId="0" xfId="3" applyFont="1" applyFill="1" applyAlignment="1">
      <alignment horizontal="center" vertical="center" wrapText="1"/>
    </xf>
    <xf numFmtId="2" fontId="31" fillId="0" borderId="0" xfId="0" applyNumberFormat="1" applyFont="1" applyFill="1" applyAlignment="1">
      <alignment horizont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52" fillId="0" borderId="0" xfId="20" applyFont="1" applyFill="1" applyAlignment="1">
      <alignment horizontal="center" vertical="center" wrapText="1"/>
    </xf>
    <xf numFmtId="0" fontId="52" fillId="0" borderId="1" xfId="20" applyFont="1" applyFill="1" applyBorder="1" applyAlignment="1">
      <alignment horizontal="center" vertical="center" wrapText="1"/>
    </xf>
    <xf numFmtId="0" fontId="52" fillId="0" borderId="9" xfId="20" applyFont="1" applyFill="1" applyBorder="1" applyAlignment="1">
      <alignment horizontal="center" vertical="center" wrapText="1"/>
    </xf>
    <xf numFmtId="0" fontId="43" fillId="0" borderId="8" xfId="20" applyFont="1" applyFill="1" applyBorder="1" applyAlignment="1">
      <alignment horizontal="center" vertical="center" wrapText="1"/>
    </xf>
    <xf numFmtId="0" fontId="52" fillId="0" borderId="8" xfId="2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2" fillId="0" borderId="0" xfId="2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29" fillId="0" borderId="0" xfId="1" applyFont="1" applyAlignment="1">
      <alignment horizontal="center" wrapText="1"/>
    </xf>
    <xf numFmtId="0" fontId="29" fillId="0" borderId="13" xfId="1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73" fontId="10" fillId="0" borderId="9" xfId="8" applyNumberFormat="1" applyFont="1" applyFill="1" applyBorder="1" applyAlignment="1">
      <alignment horizontal="center" vertical="center" wrapText="1"/>
    </xf>
    <xf numFmtId="173" fontId="10" fillId="0" borderId="12" xfId="8" applyNumberFormat="1" applyFont="1" applyFill="1" applyBorder="1" applyAlignment="1">
      <alignment horizontal="center" vertical="center" wrapText="1"/>
    </xf>
    <xf numFmtId="173" fontId="10" fillId="0" borderId="8" xfId="8" applyNumberFormat="1" applyFont="1" applyFill="1" applyBorder="1" applyAlignment="1">
      <alignment horizontal="center" vertical="center" wrapText="1"/>
    </xf>
    <xf numFmtId="43" fontId="10" fillId="0" borderId="12" xfId="8" applyNumberFormat="1" applyFont="1" applyFill="1" applyBorder="1" applyAlignment="1">
      <alignment vertical="center" wrapText="1"/>
    </xf>
    <xf numFmtId="43" fontId="10" fillId="0" borderId="8" xfId="8" applyNumberFormat="1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22">
    <cellStyle name="Обычный" xfId="0" builtinId="0"/>
    <cellStyle name="Обычный 2" xfId="1"/>
    <cellStyle name="Обычный 2 2" xfId="2"/>
    <cellStyle name="Обычный 2 2 2" xfId="20"/>
    <cellStyle name="Обычный 2 3" xfId="11"/>
    <cellStyle name="Обычный 3" xfId="3"/>
    <cellStyle name="Обычный 3 2" xfId="12"/>
    <cellStyle name="Обычный 4" xfId="4"/>
    <cellStyle name="Обычный 5" xfId="5"/>
    <cellStyle name="Обычный 6" xfId="10"/>
    <cellStyle name="Обычный 7" xfId="19"/>
    <cellStyle name="Процентный 2" xfId="18"/>
    <cellStyle name="Финансовый" xfId="6" builtinId="3"/>
    <cellStyle name="Финансовый 2" xfId="7"/>
    <cellStyle name="Финансовый 2 2" xfId="13"/>
    <cellStyle name="Финансовый 2 3" xfId="21"/>
    <cellStyle name="Финансовый 3" xfId="8"/>
    <cellStyle name="Финансовый 4" xfId="14"/>
    <cellStyle name="Финансовый 5" xfId="9"/>
    <cellStyle name="Финансовый 6" xfId="16"/>
    <cellStyle name="Финансовый 6 2" xfId="17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52400" cy="1524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52400" cy="15240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1823086</xdr:colOff>
      <xdr:row>18</xdr:row>
      <xdr:rowOff>104775</xdr:rowOff>
    </xdr:from>
    <xdr:to>
      <xdr:col>0</xdr:col>
      <xdr:colOff>2915413</xdr:colOff>
      <xdr:row>19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086" y="4714875"/>
          <a:ext cx="109232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vd/AppData/Local/Microsoft/Windows/Temporary%20Internet%20Files/Content.Outlook/28KDNAZJ/&#1050;&#1086;&#1085;&#1074;&#1077;&#1088;&#1090;&#1072;&#1094;&#1080;&#1103;%20-%20&#1088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ация ЗАГС (с Байконуром)"/>
      <sheetName val="2018 субвенция конверт"/>
      <sheetName val="2019 субвенция конверт"/>
      <sheetName val="2019 субвенция конверт ут"/>
      <sheetName val="Лист2"/>
    </sheetNames>
    <sheetDataSet>
      <sheetData sheetId="0"/>
      <sheetData sheetId="1"/>
      <sheetData sheetId="2"/>
      <sheetData sheetId="3"/>
      <sheetData sheetId="4">
        <row r="8">
          <cell r="G8">
            <v>1.4</v>
          </cell>
        </row>
        <row r="9">
          <cell r="G9">
            <v>1.4</v>
          </cell>
        </row>
        <row r="10">
          <cell r="G10">
            <v>1.4000000000000001</v>
          </cell>
        </row>
        <row r="11">
          <cell r="G11">
            <v>1.4</v>
          </cell>
        </row>
        <row r="12">
          <cell r="G12">
            <v>1.4724193027337098</v>
          </cell>
        </row>
        <row r="13">
          <cell r="G13">
            <v>1.452153646957272</v>
          </cell>
        </row>
        <row r="14">
          <cell r="G14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"/>
  <sheetViews>
    <sheetView workbookViewId="0">
      <selection activeCell="D9" sqref="D9:E9"/>
    </sheetView>
  </sheetViews>
  <sheetFormatPr defaultRowHeight="15.75" x14ac:dyDescent="0.25"/>
  <cols>
    <col min="1" max="1" width="35.28515625" style="209" customWidth="1"/>
    <col min="2" max="2" width="16.7109375" style="209" customWidth="1"/>
    <col min="3" max="3" width="18.42578125" style="209" customWidth="1"/>
    <col min="4" max="4" width="9.140625" style="209" customWidth="1"/>
    <col min="5" max="5" width="9.5703125" style="209" customWidth="1"/>
    <col min="6" max="6" width="17.85546875" style="209" customWidth="1"/>
    <col min="7" max="16384" width="9.140625" style="209"/>
  </cols>
  <sheetData>
    <row r="1" spans="1:6" x14ac:dyDescent="0.25">
      <c r="A1" s="730" t="s">
        <v>53</v>
      </c>
      <c r="B1" s="730"/>
      <c r="C1" s="730"/>
      <c r="D1" s="730"/>
      <c r="E1" s="730"/>
      <c r="F1" s="730"/>
    </row>
    <row r="2" spans="1:6" ht="99.75" customHeight="1" x14ac:dyDescent="0.25">
      <c r="A2" s="729" t="s">
        <v>424</v>
      </c>
      <c r="B2" s="729"/>
      <c r="C2" s="729"/>
      <c r="D2" s="729"/>
      <c r="E2" s="729"/>
      <c r="F2" s="729"/>
    </row>
    <row r="4" spans="1:6" x14ac:dyDescent="0.25">
      <c r="A4" s="317"/>
      <c r="E4" s="428"/>
      <c r="F4" s="209" t="s">
        <v>423</v>
      </c>
    </row>
    <row r="5" spans="1:6" s="426" customFormat="1" ht="30.75" customHeight="1" x14ac:dyDescent="0.2">
      <c r="A5" s="737" t="s">
        <v>422</v>
      </c>
      <c r="B5" s="738">
        <v>2019</v>
      </c>
      <c r="C5" s="738"/>
      <c r="D5" s="739">
        <v>2020</v>
      </c>
      <c r="E5" s="740"/>
      <c r="F5" s="427" t="s">
        <v>333</v>
      </c>
    </row>
    <row r="6" spans="1:6" ht="129.75" customHeight="1" x14ac:dyDescent="0.25">
      <c r="A6" s="737"/>
      <c r="B6" s="425" t="s">
        <v>420</v>
      </c>
      <c r="C6" s="425" t="s">
        <v>421</v>
      </c>
      <c r="D6" s="741" t="s">
        <v>420</v>
      </c>
      <c r="E6" s="742"/>
      <c r="F6" s="425" t="s">
        <v>420</v>
      </c>
    </row>
    <row r="7" spans="1:6" ht="32.25" customHeight="1" x14ac:dyDescent="0.25">
      <c r="A7" s="424" t="s">
        <v>419</v>
      </c>
      <c r="B7" s="423">
        <v>281.3</v>
      </c>
      <c r="C7" s="423">
        <v>36</v>
      </c>
      <c r="D7" s="731">
        <v>281.3</v>
      </c>
      <c r="E7" s="732"/>
      <c r="F7" s="423">
        <v>281.3</v>
      </c>
    </row>
    <row r="8" spans="1:6" ht="35.25" customHeight="1" x14ac:dyDescent="0.25">
      <c r="A8" s="424" t="s">
        <v>418</v>
      </c>
      <c r="B8" s="422">
        <v>75</v>
      </c>
      <c r="C8" s="423">
        <v>10</v>
      </c>
      <c r="D8" s="733">
        <v>75</v>
      </c>
      <c r="E8" s="734"/>
      <c r="F8" s="422">
        <v>75</v>
      </c>
    </row>
    <row r="9" spans="1:6" ht="20.25" customHeight="1" x14ac:dyDescent="0.25">
      <c r="A9" s="421" t="s">
        <v>17</v>
      </c>
      <c r="B9" s="420">
        <f>SUM(B7:B8)</f>
        <v>356.3</v>
      </c>
      <c r="C9" s="420">
        <f>SUM(C7:C8)</f>
        <v>46</v>
      </c>
      <c r="D9" s="735">
        <f>SUM(D7:D8)</f>
        <v>356.3</v>
      </c>
      <c r="E9" s="736"/>
      <c r="F9" s="420">
        <f>SUM(F7:F8)</f>
        <v>356.3</v>
      </c>
    </row>
  </sheetData>
  <mergeCells count="9">
    <mergeCell ref="A2:F2"/>
    <mergeCell ref="A1:F1"/>
    <mergeCell ref="D7:E7"/>
    <mergeCell ref="D8:E8"/>
    <mergeCell ref="D9:E9"/>
    <mergeCell ref="A5:A6"/>
    <mergeCell ref="B5:C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IR18"/>
  <sheetViews>
    <sheetView topLeftCell="D4" zoomScaleNormal="100" workbookViewId="0">
      <selection activeCell="G8" sqref="G8"/>
    </sheetView>
  </sheetViews>
  <sheetFormatPr defaultRowHeight="15" x14ac:dyDescent="0.2"/>
  <cols>
    <col min="1" max="1" width="36.140625" style="77" customWidth="1"/>
    <col min="2" max="2" width="19.42578125" style="77" customWidth="1"/>
    <col min="3" max="3" width="21.140625" style="77" bestFit="1" customWidth="1"/>
    <col min="4" max="4" width="20.85546875" style="77" customWidth="1"/>
    <col min="5" max="5" width="16.42578125" style="77" customWidth="1"/>
    <col min="6" max="6" width="36.140625" style="77" customWidth="1"/>
    <col min="7" max="7" width="21.85546875" style="77" customWidth="1"/>
    <col min="8" max="8" width="32.42578125" style="77" customWidth="1"/>
    <col min="9" max="9" width="12.28515625" style="77" bestFit="1" customWidth="1"/>
    <col min="10" max="10" width="18.85546875" style="77" customWidth="1"/>
    <col min="11" max="11" width="9.5703125" style="77" hidden="1" customWidth="1"/>
    <col min="12" max="12" width="8.42578125" style="77" hidden="1" customWidth="1"/>
    <col min="13" max="14" width="18.85546875" style="77" customWidth="1"/>
    <col min="15" max="15" width="8.140625" style="77" customWidth="1"/>
    <col min="16" max="16" width="8.28515625" style="77" customWidth="1"/>
    <col min="17" max="16384" width="9.140625" style="77"/>
  </cols>
  <sheetData>
    <row r="1" spans="1:252" ht="15.75" x14ac:dyDescent="0.25">
      <c r="A1" s="792" t="s">
        <v>49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</row>
    <row r="2" spans="1:252" ht="45" customHeight="1" x14ac:dyDescent="0.2">
      <c r="A2" s="791" t="s">
        <v>327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"/>
    </row>
    <row r="3" spans="1:252" ht="18.75" hidden="1" x14ac:dyDescent="0.2">
      <c r="A3" s="790"/>
      <c r="B3" s="790"/>
      <c r="C3" s="790"/>
      <c r="D3" s="790"/>
      <c r="E3" s="790"/>
      <c r="F3" s="790"/>
      <c r="G3" s="790"/>
      <c r="H3" s="790"/>
      <c r="I3" s="790"/>
      <c r="J3" s="790"/>
      <c r="K3" s="793"/>
      <c r="L3" s="793"/>
      <c r="M3" s="793"/>
      <c r="N3" s="79"/>
      <c r="O3" s="79"/>
    </row>
    <row r="4" spans="1:252" ht="15.75" x14ac:dyDescent="0.2">
      <c r="A4" s="78"/>
      <c r="B4" s="78"/>
      <c r="C4" s="78"/>
      <c r="D4" s="78"/>
      <c r="E4" s="78"/>
      <c r="G4" s="78"/>
      <c r="H4" s="78"/>
      <c r="I4" s="78"/>
      <c r="J4" s="80"/>
      <c r="K4" s="80"/>
      <c r="L4" s="80"/>
      <c r="M4" s="80"/>
      <c r="N4" s="80" t="s">
        <v>50</v>
      </c>
      <c r="O4" s="79"/>
    </row>
    <row r="5" spans="1:252" ht="262.5" customHeight="1" x14ac:dyDescent="0.2">
      <c r="A5" s="69" t="s">
        <v>1</v>
      </c>
      <c r="B5" s="122" t="s">
        <v>82</v>
      </c>
      <c r="C5" s="122" t="s">
        <v>83</v>
      </c>
      <c r="D5" s="69" t="s">
        <v>84</v>
      </c>
      <c r="E5" s="69" t="s">
        <v>85</v>
      </c>
      <c r="F5" s="69" t="s">
        <v>263</v>
      </c>
      <c r="G5" s="69" t="s">
        <v>667</v>
      </c>
      <c r="H5" s="69" t="s">
        <v>86</v>
      </c>
      <c r="I5" s="69" t="s">
        <v>87</v>
      </c>
      <c r="J5" s="122" t="s">
        <v>181</v>
      </c>
      <c r="K5" s="368" t="s">
        <v>241</v>
      </c>
      <c r="L5" s="368" t="s">
        <v>242</v>
      </c>
      <c r="M5" s="122" t="s">
        <v>206</v>
      </c>
      <c r="N5" s="122" t="s">
        <v>274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207" customFormat="1" ht="12" x14ac:dyDescent="0.2">
      <c r="A6" s="206">
        <v>1</v>
      </c>
      <c r="B6" s="206">
        <v>2</v>
      </c>
      <c r="C6" s="206">
        <v>3</v>
      </c>
      <c r="D6" s="206">
        <v>4</v>
      </c>
      <c r="E6" s="206">
        <v>5</v>
      </c>
      <c r="F6" s="206">
        <v>6</v>
      </c>
      <c r="G6" s="206">
        <v>7</v>
      </c>
      <c r="H6" s="206">
        <v>8</v>
      </c>
      <c r="I6" s="206">
        <v>9</v>
      </c>
      <c r="J6" s="206">
        <v>10</v>
      </c>
      <c r="K6" s="206"/>
      <c r="L6" s="206"/>
      <c r="M6" s="206">
        <v>11</v>
      </c>
      <c r="N6" s="206">
        <v>12</v>
      </c>
    </row>
    <row r="7" spans="1:252" s="83" customFormat="1" ht="15.75" x14ac:dyDescent="0.25">
      <c r="A7" s="70" t="s">
        <v>6</v>
      </c>
      <c r="B7" s="201">
        <v>11308</v>
      </c>
      <c r="C7" s="179"/>
      <c r="D7" s="82">
        <v>25</v>
      </c>
      <c r="E7" s="82">
        <v>14</v>
      </c>
      <c r="F7" s="71">
        <v>1000</v>
      </c>
      <c r="G7" s="82">
        <v>2.5</v>
      </c>
      <c r="H7" s="82">
        <v>1.302</v>
      </c>
      <c r="I7" s="82">
        <v>12</v>
      </c>
      <c r="J7" s="118">
        <f>ROUND((B7/D7+C7/E7)*F7*G7*H7*12/1000,1)</f>
        <v>17667.599999999999</v>
      </c>
      <c r="K7" s="118">
        <f>J7-L7</f>
        <v>13569.599999999999</v>
      </c>
      <c r="L7" s="118">
        <f t="shared" ref="L7:L15" si="0">ROUND(J7*0.302/1.302,1)</f>
        <v>4098</v>
      </c>
      <c r="M7" s="118">
        <f>J7</f>
        <v>17667.599999999999</v>
      </c>
      <c r="N7" s="118">
        <f>M7</f>
        <v>17667.599999999999</v>
      </c>
    </row>
    <row r="8" spans="1:252" s="83" customFormat="1" ht="15.75" x14ac:dyDescent="0.25">
      <c r="A8" s="70" t="s">
        <v>58</v>
      </c>
      <c r="B8" s="179">
        <v>806</v>
      </c>
      <c r="C8" s="179">
        <v>296</v>
      </c>
      <c r="D8" s="82">
        <v>25</v>
      </c>
      <c r="E8" s="82">
        <v>14</v>
      </c>
      <c r="F8" s="71">
        <v>1000</v>
      </c>
      <c r="G8" s="82">
        <v>2.5</v>
      </c>
      <c r="H8" s="82">
        <v>1.302</v>
      </c>
      <c r="I8" s="82">
        <v>12</v>
      </c>
      <c r="J8" s="118">
        <f>ROUND((B8/D8+C8/E8)*F8*G8*H8*12/1000,1)</f>
        <v>2085.1</v>
      </c>
      <c r="K8" s="118">
        <f>J8-L8</f>
        <v>1601.5</v>
      </c>
      <c r="L8" s="118">
        <f t="shared" si="0"/>
        <v>483.6</v>
      </c>
      <c r="M8" s="118">
        <f>J8</f>
        <v>2085.1</v>
      </c>
      <c r="N8" s="118">
        <f t="shared" ref="N8:N15" si="1">M8</f>
        <v>2085.1</v>
      </c>
    </row>
    <row r="9" spans="1:252" s="83" customFormat="1" ht="15.75" x14ac:dyDescent="0.25">
      <c r="A9" s="70" t="s">
        <v>55</v>
      </c>
      <c r="B9" s="179">
        <v>606</v>
      </c>
      <c r="C9" s="179"/>
      <c r="D9" s="82">
        <v>25</v>
      </c>
      <c r="E9" s="82">
        <v>14</v>
      </c>
      <c r="F9" s="71">
        <v>1000</v>
      </c>
      <c r="G9" s="82">
        <v>2.5</v>
      </c>
      <c r="H9" s="82">
        <v>1.302</v>
      </c>
      <c r="I9" s="82">
        <v>12</v>
      </c>
      <c r="J9" s="118">
        <f t="shared" ref="J9:J15" si="2">ROUND((B9/D9+C9/E9)*F9*G9*H9*12/1000,1)</f>
        <v>946.8</v>
      </c>
      <c r="K9" s="118">
        <f t="shared" ref="K9:K15" si="3">J9-L9</f>
        <v>727.19999999999993</v>
      </c>
      <c r="L9" s="118">
        <f t="shared" si="0"/>
        <v>219.6</v>
      </c>
      <c r="M9" s="118">
        <f t="shared" ref="M9:M15" si="4">J9</f>
        <v>946.8</v>
      </c>
      <c r="N9" s="118">
        <f t="shared" si="1"/>
        <v>946.8</v>
      </c>
    </row>
    <row r="10" spans="1:252" s="83" customFormat="1" ht="15.75" x14ac:dyDescent="0.25">
      <c r="A10" s="70" t="s">
        <v>60</v>
      </c>
      <c r="B10" s="179">
        <v>321</v>
      </c>
      <c r="C10" s="179">
        <v>30</v>
      </c>
      <c r="D10" s="82">
        <v>25</v>
      </c>
      <c r="E10" s="82">
        <v>14</v>
      </c>
      <c r="F10" s="71">
        <v>1000</v>
      </c>
      <c r="G10" s="82">
        <v>2.7</v>
      </c>
      <c r="H10" s="82">
        <v>1.302</v>
      </c>
      <c r="I10" s="82">
        <v>12</v>
      </c>
      <c r="J10" s="118">
        <f t="shared" si="2"/>
        <v>632</v>
      </c>
      <c r="K10" s="118">
        <f t="shared" si="3"/>
        <v>485.4</v>
      </c>
      <c r="L10" s="118">
        <f t="shared" si="0"/>
        <v>146.6</v>
      </c>
      <c r="M10" s="118">
        <f t="shared" si="4"/>
        <v>632</v>
      </c>
      <c r="N10" s="118">
        <f t="shared" si="1"/>
        <v>632</v>
      </c>
    </row>
    <row r="11" spans="1:252" s="83" customFormat="1" ht="15.75" x14ac:dyDescent="0.25">
      <c r="A11" s="70" t="s">
        <v>57</v>
      </c>
      <c r="B11" s="179">
        <v>230</v>
      </c>
      <c r="C11" s="179">
        <v>22</v>
      </c>
      <c r="D11" s="82">
        <v>25</v>
      </c>
      <c r="E11" s="82">
        <v>14</v>
      </c>
      <c r="F11" s="71">
        <v>1000</v>
      </c>
      <c r="G11" s="82">
        <v>2.5</v>
      </c>
      <c r="H11" s="82">
        <v>1.302</v>
      </c>
      <c r="I11" s="82">
        <v>12</v>
      </c>
      <c r="J11" s="118">
        <f t="shared" si="2"/>
        <v>420.7</v>
      </c>
      <c r="K11" s="118">
        <f t="shared" si="3"/>
        <v>323.10000000000002</v>
      </c>
      <c r="L11" s="118">
        <f t="shared" si="0"/>
        <v>97.6</v>
      </c>
      <c r="M11" s="118">
        <f t="shared" si="4"/>
        <v>420.7</v>
      </c>
      <c r="N11" s="118">
        <f t="shared" si="1"/>
        <v>420.7</v>
      </c>
    </row>
    <row r="12" spans="1:252" s="83" customFormat="1" ht="15.75" x14ac:dyDescent="0.25">
      <c r="A12" s="70" t="s">
        <v>61</v>
      </c>
      <c r="B12" s="179">
        <v>775</v>
      </c>
      <c r="C12" s="179"/>
      <c r="D12" s="82">
        <v>25</v>
      </c>
      <c r="E12" s="82">
        <v>14</v>
      </c>
      <c r="F12" s="71">
        <v>1000</v>
      </c>
      <c r="G12" s="82">
        <v>2.5</v>
      </c>
      <c r="H12" s="82">
        <v>1.302</v>
      </c>
      <c r="I12" s="82">
        <v>12</v>
      </c>
      <c r="J12" s="118">
        <f t="shared" si="2"/>
        <v>1210.9000000000001</v>
      </c>
      <c r="K12" s="118">
        <f t="shared" si="3"/>
        <v>930.00000000000011</v>
      </c>
      <c r="L12" s="118">
        <f t="shared" si="0"/>
        <v>280.89999999999998</v>
      </c>
      <c r="M12" s="118">
        <f t="shared" si="4"/>
        <v>1210.9000000000001</v>
      </c>
      <c r="N12" s="118">
        <f t="shared" si="1"/>
        <v>1210.9000000000001</v>
      </c>
    </row>
    <row r="13" spans="1:252" s="83" customFormat="1" ht="15.75" x14ac:dyDescent="0.25">
      <c r="A13" s="70" t="s">
        <v>62</v>
      </c>
      <c r="B13" s="179">
        <v>360</v>
      </c>
      <c r="C13" s="179">
        <v>49</v>
      </c>
      <c r="D13" s="82">
        <v>25</v>
      </c>
      <c r="E13" s="82">
        <v>14</v>
      </c>
      <c r="F13" s="71">
        <v>1000</v>
      </c>
      <c r="G13" s="82">
        <v>2.5</v>
      </c>
      <c r="H13" s="82">
        <v>1.302</v>
      </c>
      <c r="I13" s="82">
        <v>12</v>
      </c>
      <c r="J13" s="118">
        <f t="shared" si="2"/>
        <v>699.2</v>
      </c>
      <c r="K13" s="118">
        <f t="shared" si="3"/>
        <v>537</v>
      </c>
      <c r="L13" s="118">
        <f t="shared" si="0"/>
        <v>162.19999999999999</v>
      </c>
      <c r="M13" s="118">
        <f t="shared" si="4"/>
        <v>699.2</v>
      </c>
      <c r="N13" s="118">
        <f t="shared" si="1"/>
        <v>699.2</v>
      </c>
    </row>
    <row r="14" spans="1:252" s="83" customFormat="1" ht="15.75" x14ac:dyDescent="0.25">
      <c r="A14" s="70" t="s">
        <v>63</v>
      </c>
      <c r="B14" s="179">
        <v>811</v>
      </c>
      <c r="C14" s="179"/>
      <c r="D14" s="82">
        <v>25</v>
      </c>
      <c r="E14" s="82">
        <v>14</v>
      </c>
      <c r="F14" s="71">
        <v>1000</v>
      </c>
      <c r="G14" s="82">
        <v>2.5</v>
      </c>
      <c r="H14" s="82">
        <v>1.302</v>
      </c>
      <c r="I14" s="82">
        <v>12</v>
      </c>
      <c r="J14" s="118">
        <f t="shared" si="2"/>
        <v>1267.0999999999999</v>
      </c>
      <c r="K14" s="118">
        <f t="shared" si="3"/>
        <v>973.19999999999993</v>
      </c>
      <c r="L14" s="118">
        <f t="shared" si="0"/>
        <v>293.89999999999998</v>
      </c>
      <c r="M14" s="118">
        <f t="shared" si="4"/>
        <v>1267.0999999999999</v>
      </c>
      <c r="N14" s="118">
        <f t="shared" si="1"/>
        <v>1267.0999999999999</v>
      </c>
    </row>
    <row r="15" spans="1:252" s="83" customFormat="1" ht="15.75" x14ac:dyDescent="0.25">
      <c r="A15" s="70" t="s">
        <v>64</v>
      </c>
      <c r="B15" s="179">
        <v>936</v>
      </c>
      <c r="C15" s="179"/>
      <c r="D15" s="82">
        <v>25</v>
      </c>
      <c r="E15" s="82">
        <v>14</v>
      </c>
      <c r="F15" s="71">
        <v>1000</v>
      </c>
      <c r="G15" s="82">
        <v>2.5</v>
      </c>
      <c r="H15" s="82">
        <v>1.302</v>
      </c>
      <c r="I15" s="82">
        <v>12</v>
      </c>
      <c r="J15" s="118">
        <f t="shared" si="2"/>
        <v>1462.4</v>
      </c>
      <c r="K15" s="118">
        <f t="shared" si="3"/>
        <v>1123.2</v>
      </c>
      <c r="L15" s="118">
        <f t="shared" si="0"/>
        <v>339.2</v>
      </c>
      <c r="M15" s="118">
        <f t="shared" si="4"/>
        <v>1462.4</v>
      </c>
      <c r="N15" s="118">
        <f t="shared" si="1"/>
        <v>1462.4</v>
      </c>
    </row>
    <row r="16" spans="1:252" s="205" customFormat="1" ht="15.75" x14ac:dyDescent="0.25">
      <c r="A16" s="202" t="s">
        <v>7</v>
      </c>
      <c r="B16" s="203">
        <f>SUM(B7:B15)</f>
        <v>16153</v>
      </c>
      <c r="C16" s="204">
        <f>SUM(C7:C15)</f>
        <v>397</v>
      </c>
      <c r="D16" s="204" t="s">
        <v>220</v>
      </c>
      <c r="E16" s="204" t="s">
        <v>220</v>
      </c>
      <c r="F16" s="204" t="s">
        <v>220</v>
      </c>
      <c r="G16" s="204" t="s">
        <v>220</v>
      </c>
      <c r="H16" s="204" t="s">
        <v>220</v>
      </c>
      <c r="I16" s="204" t="s">
        <v>220</v>
      </c>
      <c r="J16" s="118">
        <f>SUM(J7:J15)</f>
        <v>26391.8</v>
      </c>
      <c r="K16" s="118">
        <f>SUM(K7:K15)</f>
        <v>20270.2</v>
      </c>
      <c r="L16" s="118">
        <f>SUM(L7:L15)</f>
        <v>6121.6</v>
      </c>
      <c r="M16" s="118">
        <f>SUM(M7:M15)</f>
        <v>26391.8</v>
      </c>
      <c r="N16" s="118">
        <f>SUM(N7:N15)</f>
        <v>26391.8</v>
      </c>
    </row>
    <row r="18" spans="1:3" ht="15.75" x14ac:dyDescent="0.25">
      <c r="A18" s="23"/>
      <c r="B18" s="23"/>
      <c r="C18" s="84"/>
    </row>
  </sheetData>
  <mergeCells count="4">
    <mergeCell ref="A3:J3"/>
    <mergeCell ref="A2:N2"/>
    <mergeCell ref="A1:N1"/>
    <mergeCell ref="K3:M3"/>
  </mergeCells>
  <pageMargins left="0.26" right="0.16" top="0.74803149606299213" bottom="0.74803149606299213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K39"/>
  <sheetViews>
    <sheetView topLeftCell="A19" zoomScaleNormal="100" zoomScaleSheetLayoutView="80" workbookViewId="0">
      <selection activeCell="K25" sqref="K25"/>
    </sheetView>
  </sheetViews>
  <sheetFormatPr defaultRowHeight="12.75" x14ac:dyDescent="0.2"/>
  <cols>
    <col min="1" max="1" width="73.42578125" style="1" customWidth="1"/>
    <col min="2" max="2" width="12.28515625" style="1" bestFit="1" customWidth="1"/>
    <col min="3" max="3" width="15.5703125" style="1" customWidth="1"/>
    <col min="4" max="4" width="13.5703125" style="1" customWidth="1"/>
    <col min="5" max="5" width="15" style="1" customWidth="1"/>
    <col min="6" max="6" width="15.7109375" style="1" customWidth="1"/>
    <col min="7" max="7" width="15" style="1" customWidth="1"/>
    <col min="8" max="8" width="15.5703125" style="1" customWidth="1"/>
    <col min="9" max="9" width="14.28515625" style="1" customWidth="1"/>
    <col min="10" max="10" width="14.42578125" style="1" customWidth="1"/>
    <col min="11" max="11" width="14.5703125" style="1" customWidth="1"/>
    <col min="12" max="16384" width="9.140625" style="1"/>
  </cols>
  <sheetData>
    <row r="1" spans="1:11" s="4" customFormat="1" x14ac:dyDescent="0.2">
      <c r="A1" s="796" t="s">
        <v>2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</row>
    <row r="2" spans="1:11" s="4" customFormat="1" ht="34.5" customHeight="1" x14ac:dyDescent="0.2">
      <c r="A2" s="779" t="s">
        <v>330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1:11" ht="11.25" customHeight="1" x14ac:dyDescent="0.3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</row>
    <row r="4" spans="1:11" s="3" customFormat="1" ht="15" x14ac:dyDescent="0.25">
      <c r="A4" s="370"/>
      <c r="B4" s="370"/>
      <c r="C4" s="370"/>
      <c r="D4" s="370"/>
      <c r="E4" s="370"/>
      <c r="F4" s="370"/>
      <c r="G4" s="370"/>
      <c r="H4" s="370"/>
      <c r="I4" s="370"/>
      <c r="J4" s="795" t="s">
        <v>15</v>
      </c>
      <c r="K4" s="795"/>
    </row>
    <row r="5" spans="1:11" s="303" customFormat="1" ht="63" x14ac:dyDescent="0.2">
      <c r="A5" s="310" t="s">
        <v>0</v>
      </c>
      <c r="B5" s="310" t="s">
        <v>3</v>
      </c>
      <c r="C5" s="310" t="s">
        <v>58</v>
      </c>
      <c r="D5" s="310" t="s">
        <v>63</v>
      </c>
      <c r="E5" s="310" t="s">
        <v>62</v>
      </c>
      <c r="F5" s="310" t="s">
        <v>57</v>
      </c>
      <c r="G5" s="310" t="s">
        <v>55</v>
      </c>
      <c r="H5" s="310" t="s">
        <v>61</v>
      </c>
      <c r="I5" s="310" t="s">
        <v>60</v>
      </c>
      <c r="J5" s="310" t="s">
        <v>92</v>
      </c>
      <c r="K5" s="745" t="s">
        <v>8</v>
      </c>
    </row>
    <row r="6" spans="1:11" s="5" customFormat="1" ht="38.25" customHeight="1" x14ac:dyDescent="0.25">
      <c r="A6" s="280" t="s">
        <v>9</v>
      </c>
      <c r="B6" s="310" t="s">
        <v>250</v>
      </c>
      <c r="C6" s="310" t="s">
        <v>251</v>
      </c>
      <c r="D6" s="310" t="s">
        <v>251</v>
      </c>
      <c r="E6" s="371" t="s">
        <v>252</v>
      </c>
      <c r="F6" s="310" t="s">
        <v>253</v>
      </c>
      <c r="G6" s="371" t="s">
        <v>254</v>
      </c>
      <c r="H6" s="310" t="s">
        <v>251</v>
      </c>
      <c r="I6" s="310" t="s">
        <v>253</v>
      </c>
      <c r="J6" s="310" t="s">
        <v>251</v>
      </c>
      <c r="K6" s="745"/>
    </row>
    <row r="7" spans="1:11" s="5" customFormat="1" ht="18.75" customHeight="1" x14ac:dyDescent="0.25">
      <c r="A7" s="93" t="s">
        <v>10</v>
      </c>
      <c r="B7" s="372">
        <f t="shared" ref="B7:H7" si="0">SUM(B9:B11)</f>
        <v>4</v>
      </c>
      <c r="C7" s="372">
        <f t="shared" si="0"/>
        <v>2</v>
      </c>
      <c r="D7" s="372">
        <f t="shared" si="0"/>
        <v>2</v>
      </c>
      <c r="E7" s="372">
        <f>SUM(E9:E11)</f>
        <v>1</v>
      </c>
      <c r="F7" s="372">
        <f t="shared" si="0"/>
        <v>1</v>
      </c>
      <c r="G7" s="372">
        <f t="shared" si="0"/>
        <v>1</v>
      </c>
      <c r="H7" s="372">
        <f t="shared" si="0"/>
        <v>2</v>
      </c>
      <c r="I7" s="372">
        <f>SUM(I9:I11)</f>
        <v>1</v>
      </c>
      <c r="J7" s="372">
        <v>2</v>
      </c>
      <c r="K7" s="372">
        <f>SUM(B7:J7)</f>
        <v>16</v>
      </c>
    </row>
    <row r="8" spans="1:11" s="5" customFormat="1" ht="15.75" x14ac:dyDescent="0.25">
      <c r="A8" s="93" t="s">
        <v>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</row>
    <row r="9" spans="1:11" s="5" customFormat="1" ht="15.75" x14ac:dyDescent="0.25">
      <c r="A9" s="93" t="s">
        <v>11</v>
      </c>
      <c r="B9" s="372">
        <v>1</v>
      </c>
      <c r="C9" s="372">
        <v>1</v>
      </c>
      <c r="D9" s="372">
        <v>1</v>
      </c>
      <c r="E9" s="372"/>
      <c r="F9" s="372"/>
      <c r="G9" s="372">
        <v>1</v>
      </c>
      <c r="H9" s="372">
        <v>1</v>
      </c>
      <c r="I9" s="372"/>
      <c r="J9" s="372">
        <v>1</v>
      </c>
      <c r="K9" s="372">
        <f>SUM(B9:J9)</f>
        <v>6</v>
      </c>
    </row>
    <row r="10" spans="1:11" s="5" customFormat="1" ht="15.75" x14ac:dyDescent="0.25">
      <c r="A10" s="93" t="s">
        <v>12</v>
      </c>
      <c r="B10" s="372">
        <v>2</v>
      </c>
      <c r="C10" s="372">
        <v>1</v>
      </c>
      <c r="D10" s="372">
        <v>1</v>
      </c>
      <c r="E10" s="372">
        <v>1</v>
      </c>
      <c r="F10" s="372">
        <v>1</v>
      </c>
      <c r="G10" s="372"/>
      <c r="H10" s="372">
        <v>1</v>
      </c>
      <c r="I10" s="372">
        <v>1</v>
      </c>
      <c r="J10" s="372">
        <v>1</v>
      </c>
      <c r="K10" s="372">
        <f>SUM(B10:J10)</f>
        <v>9</v>
      </c>
    </row>
    <row r="11" spans="1:11" s="5" customFormat="1" ht="15.75" x14ac:dyDescent="0.25">
      <c r="A11" s="93" t="s">
        <v>13</v>
      </c>
      <c r="B11" s="372">
        <v>1</v>
      </c>
      <c r="C11" s="372"/>
      <c r="D11" s="372"/>
      <c r="E11" s="372"/>
      <c r="F11" s="372"/>
      <c r="G11" s="372"/>
      <c r="H11" s="372"/>
      <c r="I11" s="372"/>
      <c r="J11" s="372"/>
      <c r="K11" s="372">
        <f>SUM(B11:J11)</f>
        <v>1</v>
      </c>
    </row>
    <row r="12" spans="1:11" s="5" customFormat="1" ht="15.75" x14ac:dyDescent="0.25">
      <c r="A12" s="93" t="s">
        <v>256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</row>
    <row r="13" spans="1:11" s="5" customFormat="1" ht="15.75" x14ac:dyDescent="0.25">
      <c r="A13" s="93" t="s">
        <v>11</v>
      </c>
      <c r="B13" s="373">
        <v>6.1</v>
      </c>
      <c r="C13" s="373">
        <v>6.1</v>
      </c>
      <c r="D13" s="373">
        <v>6.1</v>
      </c>
      <c r="E13" s="373"/>
      <c r="F13" s="373"/>
      <c r="G13" s="373">
        <v>6.1</v>
      </c>
      <c r="H13" s="373">
        <v>6.1</v>
      </c>
      <c r="I13" s="373"/>
      <c r="J13" s="373">
        <v>6.1</v>
      </c>
      <c r="K13" s="374">
        <f>SUM(B13:J13)</f>
        <v>36.6</v>
      </c>
    </row>
    <row r="14" spans="1:11" s="5" customFormat="1" ht="15.75" x14ac:dyDescent="0.25">
      <c r="A14" s="93" t="s">
        <v>12</v>
      </c>
      <c r="B14" s="373">
        <v>11.188000000000001</v>
      </c>
      <c r="C14" s="373">
        <v>5.5940000000000003</v>
      </c>
      <c r="D14" s="373">
        <v>5.5940000000000003</v>
      </c>
      <c r="E14" s="373">
        <v>5.5940000000000003</v>
      </c>
      <c r="F14" s="373">
        <v>5.5940000000000003</v>
      </c>
      <c r="G14" s="373"/>
      <c r="H14" s="373">
        <v>5.5940000000000003</v>
      </c>
      <c r="I14" s="373">
        <v>5.5940000000000003</v>
      </c>
      <c r="J14" s="373">
        <v>5.5940000000000003</v>
      </c>
      <c r="K14" s="374">
        <f>SUM(B14:J14)</f>
        <v>50.346000000000004</v>
      </c>
    </row>
    <row r="15" spans="1:11" s="5" customFormat="1" ht="16.5" customHeight="1" x14ac:dyDescent="0.25">
      <c r="A15" s="93" t="s">
        <v>14</v>
      </c>
      <c r="B15" s="373">
        <v>6.484</v>
      </c>
      <c r="C15" s="373"/>
      <c r="D15" s="373"/>
      <c r="E15" s="373"/>
      <c r="F15" s="373"/>
      <c r="G15" s="373"/>
      <c r="H15" s="373"/>
      <c r="I15" s="373"/>
      <c r="J15" s="373"/>
      <c r="K15" s="374">
        <f>SUM(B15:J15)</f>
        <v>6.484</v>
      </c>
    </row>
    <row r="16" spans="1:11" s="5" customFormat="1" ht="15.75" x14ac:dyDescent="0.25">
      <c r="A16" s="93" t="s">
        <v>255</v>
      </c>
      <c r="B16" s="374">
        <f>SUM(B13:B15)</f>
        <v>23.771999999999998</v>
      </c>
      <c r="C16" s="374">
        <f t="shared" ref="C16:J16" si="1">SUM(C13:C15)</f>
        <v>11.693999999999999</v>
      </c>
      <c r="D16" s="374">
        <f t="shared" si="1"/>
        <v>11.693999999999999</v>
      </c>
      <c r="E16" s="374">
        <f t="shared" si="1"/>
        <v>5.5940000000000003</v>
      </c>
      <c r="F16" s="374">
        <f t="shared" si="1"/>
        <v>5.5940000000000003</v>
      </c>
      <c r="G16" s="374">
        <f t="shared" si="1"/>
        <v>6.1</v>
      </c>
      <c r="H16" s="374">
        <f t="shared" si="1"/>
        <v>11.693999999999999</v>
      </c>
      <c r="I16" s="374">
        <f t="shared" si="1"/>
        <v>5.5940000000000003</v>
      </c>
      <c r="J16" s="374">
        <f t="shared" si="1"/>
        <v>11.693999999999999</v>
      </c>
      <c r="K16" s="374"/>
    </row>
    <row r="17" spans="1:11" s="5" customFormat="1" ht="108" customHeight="1" x14ac:dyDescent="0.25">
      <c r="A17" s="93" t="s">
        <v>172</v>
      </c>
      <c r="B17" s="374">
        <v>12.92</v>
      </c>
      <c r="C17" s="374">
        <v>12.92</v>
      </c>
      <c r="D17" s="374">
        <v>12.92</v>
      </c>
      <c r="E17" s="374">
        <v>12.92</v>
      </c>
      <c r="F17" s="374">
        <v>12.92</v>
      </c>
      <c r="G17" s="374">
        <v>12.92</v>
      </c>
      <c r="H17" s="374">
        <v>12.92</v>
      </c>
      <c r="I17" s="374">
        <v>13.95</v>
      </c>
      <c r="J17" s="374">
        <v>12.92</v>
      </c>
      <c r="K17" s="374"/>
    </row>
    <row r="18" spans="1:11" s="5" customFormat="1" ht="155.25" customHeight="1" x14ac:dyDescent="0.25">
      <c r="A18" s="93" t="s">
        <v>173</v>
      </c>
      <c r="B18" s="374">
        <v>0.30199999999999999</v>
      </c>
      <c r="C18" s="374">
        <v>0.30199999999999999</v>
      </c>
      <c r="D18" s="374">
        <v>0.30199999999999999</v>
      </c>
      <c r="E18" s="374">
        <v>0.30199999999999999</v>
      </c>
      <c r="F18" s="374">
        <v>0.30199999999999999</v>
      </c>
      <c r="G18" s="374">
        <v>0.30199999999999999</v>
      </c>
      <c r="H18" s="374">
        <v>0.30199999999999999</v>
      </c>
      <c r="I18" s="374">
        <v>0.30199999999999999</v>
      </c>
      <c r="J18" s="374">
        <v>0.30199999999999999</v>
      </c>
      <c r="K18" s="374"/>
    </row>
    <row r="19" spans="1:11" s="5" customFormat="1" ht="34.5" customHeight="1" x14ac:dyDescent="0.25">
      <c r="A19" s="93" t="s">
        <v>174</v>
      </c>
      <c r="B19" s="375">
        <v>34.200000000000003</v>
      </c>
      <c r="C19" s="375"/>
      <c r="D19" s="375">
        <v>18.3</v>
      </c>
      <c r="E19" s="375"/>
      <c r="F19" s="375">
        <v>27.7</v>
      </c>
      <c r="G19" s="375">
        <v>26.9</v>
      </c>
      <c r="H19" s="375"/>
      <c r="I19" s="375"/>
      <c r="J19" s="375">
        <v>57.2</v>
      </c>
      <c r="K19" s="297">
        <f t="shared" ref="K19:K24" si="2">SUM(B19:J19)</f>
        <v>164.3</v>
      </c>
    </row>
    <row r="20" spans="1:11" s="5" customFormat="1" ht="16.5" customHeight="1" x14ac:dyDescent="0.25">
      <c r="A20" s="93" t="s">
        <v>175</v>
      </c>
      <c r="B20" s="375">
        <v>6</v>
      </c>
      <c r="C20" s="375">
        <v>9.1999999999999993</v>
      </c>
      <c r="D20" s="375">
        <v>15.6</v>
      </c>
      <c r="E20" s="375">
        <v>6</v>
      </c>
      <c r="F20" s="375"/>
      <c r="G20" s="375">
        <v>5</v>
      </c>
      <c r="H20" s="375"/>
      <c r="I20" s="375"/>
      <c r="J20" s="375">
        <v>2.2999999999999998</v>
      </c>
      <c r="K20" s="297">
        <f t="shared" si="2"/>
        <v>44.099999999999994</v>
      </c>
    </row>
    <row r="21" spans="1:11" s="5" customFormat="1" ht="33.75" customHeight="1" x14ac:dyDescent="0.25">
      <c r="A21" s="93" t="s">
        <v>176</v>
      </c>
      <c r="B21" s="375">
        <v>61</v>
      </c>
      <c r="C21" s="375">
        <v>20.7</v>
      </c>
      <c r="D21" s="375">
        <v>27</v>
      </c>
      <c r="E21" s="375">
        <v>11</v>
      </c>
      <c r="F21" s="375">
        <v>27.7</v>
      </c>
      <c r="G21" s="375">
        <v>14.5</v>
      </c>
      <c r="H21" s="375">
        <v>18.399999999999999</v>
      </c>
      <c r="I21" s="375"/>
      <c r="J21" s="375">
        <v>35.4</v>
      </c>
      <c r="K21" s="297">
        <f t="shared" si="2"/>
        <v>215.70000000000002</v>
      </c>
    </row>
    <row r="22" spans="1:11" s="5" customFormat="1" ht="18" customHeight="1" x14ac:dyDescent="0.25">
      <c r="A22" s="93" t="s">
        <v>177</v>
      </c>
      <c r="B22" s="375"/>
      <c r="C22" s="375">
        <v>131</v>
      </c>
      <c r="D22" s="375"/>
      <c r="E22" s="375">
        <v>1.6</v>
      </c>
      <c r="F22" s="375"/>
      <c r="G22" s="375">
        <v>10</v>
      </c>
      <c r="H22" s="375">
        <v>242</v>
      </c>
      <c r="I22" s="375"/>
      <c r="J22" s="375"/>
      <c r="K22" s="297">
        <f t="shared" si="2"/>
        <v>384.6</v>
      </c>
    </row>
    <row r="23" spans="1:11" s="5" customFormat="1" ht="30.75" customHeight="1" x14ac:dyDescent="0.25">
      <c r="A23" s="93" t="s">
        <v>178</v>
      </c>
      <c r="B23" s="375">
        <v>130.30000000000001</v>
      </c>
      <c r="C23" s="375">
        <v>101.5</v>
      </c>
      <c r="D23" s="375">
        <v>34.5</v>
      </c>
      <c r="E23" s="375">
        <v>65.599999999999994</v>
      </c>
      <c r="F23" s="375">
        <v>30.7</v>
      </c>
      <c r="G23" s="375">
        <v>22.5</v>
      </c>
      <c r="H23" s="375">
        <v>110</v>
      </c>
      <c r="I23" s="375">
        <v>11.6</v>
      </c>
      <c r="J23" s="375">
        <v>170</v>
      </c>
      <c r="K23" s="297">
        <f t="shared" si="2"/>
        <v>676.7</v>
      </c>
    </row>
    <row r="24" spans="1:11" s="5" customFormat="1" ht="47.25" customHeight="1" x14ac:dyDescent="0.25">
      <c r="A24" s="93" t="s">
        <v>179</v>
      </c>
      <c r="B24" s="375">
        <v>468</v>
      </c>
      <c r="C24" s="375">
        <v>160</v>
      </c>
      <c r="D24" s="375">
        <v>140</v>
      </c>
      <c r="E24" s="375">
        <v>26.4</v>
      </c>
      <c r="F24" s="375">
        <v>147.80000000000001</v>
      </c>
      <c r="G24" s="375">
        <v>22.8</v>
      </c>
      <c r="H24" s="375">
        <v>140</v>
      </c>
      <c r="I24" s="375">
        <v>75</v>
      </c>
      <c r="J24" s="375">
        <v>140</v>
      </c>
      <c r="K24" s="297">
        <f t="shared" si="2"/>
        <v>1320</v>
      </c>
    </row>
    <row r="25" spans="1:11" s="5" customFormat="1" ht="23.25" customHeight="1" x14ac:dyDescent="0.25">
      <c r="A25" s="90" t="s">
        <v>266</v>
      </c>
      <c r="B25" s="374">
        <f>ROUND(((B16*B17)+(B16*B17)*0.302)*12,1)+B19+B20+B21+B22+B23+B24</f>
        <v>5498.2</v>
      </c>
      <c r="C25" s="374">
        <f t="shared" ref="C25:J25" si="3">ROUND(((C16*C17)+(C16*C17)*0.302)*12,1)+C19+C20+C21+C22+C23+C24</f>
        <v>2782.9999999999995</v>
      </c>
      <c r="D25" s="374">
        <f t="shared" si="3"/>
        <v>2596</v>
      </c>
      <c r="E25" s="374">
        <f t="shared" si="3"/>
        <v>1239.8</v>
      </c>
      <c r="F25" s="374">
        <f t="shared" si="3"/>
        <v>1363.1000000000001</v>
      </c>
      <c r="G25" s="374">
        <f t="shared" si="3"/>
        <v>1333.1000000000001</v>
      </c>
      <c r="H25" s="374">
        <f t="shared" si="3"/>
        <v>2871</v>
      </c>
      <c r="I25" s="374">
        <f t="shared" si="3"/>
        <v>1305.8</v>
      </c>
      <c r="J25" s="374">
        <f t="shared" si="3"/>
        <v>2765.5</v>
      </c>
      <c r="K25" s="297">
        <f t="shared" ref="K25:K39" si="4">SUM(B25:J25)</f>
        <v>21755.499999999996</v>
      </c>
    </row>
    <row r="26" spans="1:11" s="5" customFormat="1" ht="15.75" hidden="1" x14ac:dyDescent="0.25">
      <c r="A26" s="90" t="s">
        <v>392</v>
      </c>
      <c r="B26" s="374">
        <f>B25-B27-B28-B29</f>
        <v>3685.6000000000004</v>
      </c>
      <c r="C26" s="374">
        <f t="shared" ref="C26:J26" si="5">C25-C27-C28-C29</f>
        <v>1813.0999999999995</v>
      </c>
      <c r="D26" s="374">
        <f t="shared" si="5"/>
        <v>1813.1000000000001</v>
      </c>
      <c r="E26" s="374">
        <f t="shared" si="5"/>
        <v>867.3</v>
      </c>
      <c r="F26" s="374">
        <f t="shared" si="5"/>
        <v>867.30000000000018</v>
      </c>
      <c r="G26" s="374">
        <f t="shared" si="5"/>
        <v>945.80000000000007</v>
      </c>
      <c r="H26" s="374">
        <f t="shared" si="5"/>
        <v>1813.1</v>
      </c>
      <c r="I26" s="374">
        <f t="shared" si="5"/>
        <v>936.4</v>
      </c>
      <c r="J26" s="374">
        <f t="shared" si="5"/>
        <v>1813.1000000000001</v>
      </c>
      <c r="K26" s="297">
        <f t="shared" si="4"/>
        <v>14554.800000000001</v>
      </c>
    </row>
    <row r="27" spans="1:11" s="5" customFormat="1" ht="15.75" hidden="1" x14ac:dyDescent="0.25">
      <c r="A27" s="90" t="s">
        <v>393</v>
      </c>
      <c r="B27" s="374">
        <f>ROUND((B25-B28-B29)/1.302*0.302,1)</f>
        <v>1113.0999999999999</v>
      </c>
      <c r="C27" s="374">
        <f t="shared" ref="C27:J27" si="6">ROUND((C25-C28-C29)/1.302*0.302,1)</f>
        <v>547.5</v>
      </c>
      <c r="D27" s="374">
        <f t="shared" si="6"/>
        <v>547.5</v>
      </c>
      <c r="E27" s="374">
        <f t="shared" si="6"/>
        <v>261.89999999999998</v>
      </c>
      <c r="F27" s="374">
        <f t="shared" si="6"/>
        <v>261.89999999999998</v>
      </c>
      <c r="G27" s="374">
        <f t="shared" si="6"/>
        <v>285.60000000000002</v>
      </c>
      <c r="H27" s="374">
        <f t="shared" si="6"/>
        <v>547.5</v>
      </c>
      <c r="I27" s="374">
        <f t="shared" si="6"/>
        <v>282.8</v>
      </c>
      <c r="J27" s="374">
        <f t="shared" si="6"/>
        <v>547.5</v>
      </c>
      <c r="K27" s="297">
        <f t="shared" si="4"/>
        <v>4395.3</v>
      </c>
    </row>
    <row r="28" spans="1:11" s="5" customFormat="1" ht="15.75" hidden="1" x14ac:dyDescent="0.25">
      <c r="A28" s="90" t="s">
        <v>394</v>
      </c>
      <c r="B28" s="374">
        <f>B19</f>
        <v>34.200000000000003</v>
      </c>
      <c r="C28" s="374">
        <f t="shared" ref="C28:J28" si="7">C19</f>
        <v>0</v>
      </c>
      <c r="D28" s="374">
        <f t="shared" si="7"/>
        <v>18.3</v>
      </c>
      <c r="E28" s="374">
        <f t="shared" si="7"/>
        <v>0</v>
      </c>
      <c r="F28" s="374">
        <f t="shared" si="7"/>
        <v>27.7</v>
      </c>
      <c r="G28" s="374">
        <f t="shared" si="7"/>
        <v>26.9</v>
      </c>
      <c r="H28" s="374">
        <f t="shared" si="7"/>
        <v>0</v>
      </c>
      <c r="I28" s="374">
        <f t="shared" si="7"/>
        <v>0</v>
      </c>
      <c r="J28" s="374">
        <f t="shared" si="7"/>
        <v>57.2</v>
      </c>
      <c r="K28" s="297">
        <f t="shared" si="4"/>
        <v>164.3</v>
      </c>
    </row>
    <row r="29" spans="1:11" s="5" customFormat="1" ht="15.75" hidden="1" x14ac:dyDescent="0.25">
      <c r="A29" s="90" t="s">
        <v>395</v>
      </c>
      <c r="B29" s="374">
        <f>B20+B21+B22+B23+B24</f>
        <v>665.3</v>
      </c>
      <c r="C29" s="374">
        <f t="shared" ref="C29:J29" si="8">C20+C21+C22+C23+C24</f>
        <v>422.4</v>
      </c>
      <c r="D29" s="374">
        <f t="shared" si="8"/>
        <v>217.1</v>
      </c>
      <c r="E29" s="374">
        <f t="shared" si="8"/>
        <v>110.6</v>
      </c>
      <c r="F29" s="374">
        <f t="shared" si="8"/>
        <v>206.20000000000002</v>
      </c>
      <c r="G29" s="374">
        <f t="shared" si="8"/>
        <v>74.8</v>
      </c>
      <c r="H29" s="374">
        <f t="shared" si="8"/>
        <v>510.4</v>
      </c>
      <c r="I29" s="374">
        <f t="shared" si="8"/>
        <v>86.6</v>
      </c>
      <c r="J29" s="374">
        <f t="shared" si="8"/>
        <v>347.7</v>
      </c>
      <c r="K29" s="297">
        <f t="shared" si="4"/>
        <v>2641.0999999999995</v>
      </c>
    </row>
    <row r="30" spans="1:11" s="5" customFormat="1" ht="21.75" customHeight="1" x14ac:dyDescent="0.25">
      <c r="A30" s="90" t="s">
        <v>270</v>
      </c>
      <c r="B30" s="374">
        <v>5498.2</v>
      </c>
      <c r="C30" s="374">
        <v>2782.9999999999995</v>
      </c>
      <c r="D30" s="374">
        <v>2596</v>
      </c>
      <c r="E30" s="374">
        <v>1239.8</v>
      </c>
      <c r="F30" s="374">
        <v>1363.1000000000001</v>
      </c>
      <c r="G30" s="374">
        <v>1333.1000000000001</v>
      </c>
      <c r="H30" s="374">
        <v>2871</v>
      </c>
      <c r="I30" s="374">
        <v>1305.8</v>
      </c>
      <c r="J30" s="374">
        <v>2765.5</v>
      </c>
      <c r="K30" s="297">
        <f t="shared" si="4"/>
        <v>21755.499999999996</v>
      </c>
    </row>
    <row r="31" spans="1:11" s="5" customFormat="1" ht="15.75" hidden="1" x14ac:dyDescent="0.25">
      <c r="A31" s="90" t="s">
        <v>392</v>
      </c>
      <c r="B31" s="374">
        <v>5498.2</v>
      </c>
      <c r="C31" s="374">
        <v>2782.9999999999995</v>
      </c>
      <c r="D31" s="374">
        <v>2596</v>
      </c>
      <c r="E31" s="374">
        <v>1239.8</v>
      </c>
      <c r="F31" s="374">
        <v>1363.1000000000001</v>
      </c>
      <c r="G31" s="374">
        <v>1333.1000000000001</v>
      </c>
      <c r="H31" s="374">
        <v>2871</v>
      </c>
      <c r="I31" s="374">
        <v>1305.8</v>
      </c>
      <c r="J31" s="374">
        <v>2765.5</v>
      </c>
      <c r="K31" s="297">
        <f t="shared" si="4"/>
        <v>21755.499999999996</v>
      </c>
    </row>
    <row r="32" spans="1:11" s="5" customFormat="1" ht="15.75" hidden="1" x14ac:dyDescent="0.25">
      <c r="A32" s="90" t="s">
        <v>393</v>
      </c>
      <c r="B32" s="374">
        <v>5498.2</v>
      </c>
      <c r="C32" s="374">
        <v>2782.9999999999995</v>
      </c>
      <c r="D32" s="374">
        <v>2596</v>
      </c>
      <c r="E32" s="374">
        <v>1239.8</v>
      </c>
      <c r="F32" s="374">
        <v>1363.1000000000001</v>
      </c>
      <c r="G32" s="374">
        <v>1333.1000000000001</v>
      </c>
      <c r="H32" s="374">
        <v>2871</v>
      </c>
      <c r="I32" s="374">
        <v>1305.8</v>
      </c>
      <c r="J32" s="374">
        <v>2765.5</v>
      </c>
      <c r="K32" s="297">
        <f t="shared" si="4"/>
        <v>21755.499999999996</v>
      </c>
    </row>
    <row r="33" spans="1:11" s="5" customFormat="1" ht="15.75" hidden="1" x14ac:dyDescent="0.25">
      <c r="A33" s="90" t="s">
        <v>394</v>
      </c>
      <c r="B33" s="374">
        <v>5498.2</v>
      </c>
      <c r="C33" s="374">
        <v>2782.9999999999995</v>
      </c>
      <c r="D33" s="374">
        <v>2596</v>
      </c>
      <c r="E33" s="374">
        <v>1239.8</v>
      </c>
      <c r="F33" s="374">
        <v>1363.1000000000001</v>
      </c>
      <c r="G33" s="374">
        <v>1333.1000000000001</v>
      </c>
      <c r="H33" s="374">
        <v>2871</v>
      </c>
      <c r="I33" s="374">
        <v>1305.8</v>
      </c>
      <c r="J33" s="374">
        <v>2765.5</v>
      </c>
      <c r="K33" s="297">
        <f t="shared" si="4"/>
        <v>21755.499999999996</v>
      </c>
    </row>
    <row r="34" spans="1:11" s="5" customFormat="1" ht="15.75" hidden="1" x14ac:dyDescent="0.25">
      <c r="A34" s="90" t="s">
        <v>395</v>
      </c>
      <c r="B34" s="374">
        <v>5498.2</v>
      </c>
      <c r="C34" s="374">
        <v>2782.9999999999995</v>
      </c>
      <c r="D34" s="374">
        <v>2596</v>
      </c>
      <c r="E34" s="374">
        <v>1239.8</v>
      </c>
      <c r="F34" s="374">
        <v>1363.1000000000001</v>
      </c>
      <c r="G34" s="374">
        <v>1333.1000000000001</v>
      </c>
      <c r="H34" s="374">
        <v>2871</v>
      </c>
      <c r="I34" s="374">
        <v>1305.8</v>
      </c>
      <c r="J34" s="374">
        <v>2765.5</v>
      </c>
      <c r="K34" s="297">
        <f t="shared" si="4"/>
        <v>21755.499999999996</v>
      </c>
    </row>
    <row r="35" spans="1:11" s="5" customFormat="1" ht="21" customHeight="1" x14ac:dyDescent="0.25">
      <c r="A35" s="90" t="s">
        <v>271</v>
      </c>
      <c r="B35" s="374">
        <v>5498.2</v>
      </c>
      <c r="C35" s="374">
        <v>2782.9999999999995</v>
      </c>
      <c r="D35" s="374">
        <v>2596</v>
      </c>
      <c r="E35" s="374">
        <v>1239.8</v>
      </c>
      <c r="F35" s="374">
        <v>1363.1000000000001</v>
      </c>
      <c r="G35" s="374">
        <v>1333.1000000000001</v>
      </c>
      <c r="H35" s="374">
        <v>2871</v>
      </c>
      <c r="I35" s="374">
        <v>1305.8</v>
      </c>
      <c r="J35" s="374">
        <v>2765.5</v>
      </c>
      <c r="K35" s="297">
        <f t="shared" si="4"/>
        <v>21755.499999999996</v>
      </c>
    </row>
    <row r="36" spans="1:11" ht="18.75" hidden="1" x14ac:dyDescent="0.3">
      <c r="A36" s="112" t="s">
        <v>388</v>
      </c>
      <c r="B36" s="2">
        <f>B35-B37-B38-B39</f>
        <v>-341.19999999999965</v>
      </c>
      <c r="C36" s="2">
        <f t="shared" ref="C36:J36" si="9">C35-C37-C38-C39</f>
        <v>-2137.4999999999995</v>
      </c>
      <c r="D36" s="2">
        <f t="shared" si="9"/>
        <v>-1993.9</v>
      </c>
      <c r="E36" s="2">
        <f t="shared" si="9"/>
        <v>-952.19999999999982</v>
      </c>
      <c r="F36" s="2">
        <f t="shared" si="9"/>
        <v>-1046.9000000000001</v>
      </c>
      <c r="G36" s="2">
        <f t="shared" si="9"/>
        <v>-1023.9000000000001</v>
      </c>
      <c r="H36" s="2">
        <f t="shared" si="9"/>
        <v>-2205.1</v>
      </c>
      <c r="I36" s="2">
        <f t="shared" si="9"/>
        <v>-1002.9000000000001</v>
      </c>
      <c r="J36" s="2">
        <f t="shared" si="9"/>
        <v>-2124</v>
      </c>
      <c r="K36" s="369">
        <f t="shared" si="4"/>
        <v>-12827.599999999999</v>
      </c>
    </row>
    <row r="37" spans="1:11" ht="18.75" hidden="1" x14ac:dyDescent="0.3">
      <c r="A37" s="112" t="s">
        <v>389</v>
      </c>
      <c r="B37" s="2">
        <f>ROUND((B35-B38-B39)/1.302*0.302,1)</f>
        <v>-103.1</v>
      </c>
      <c r="C37" s="2">
        <f t="shared" ref="C37:J37" si="10">ROUND((C35-C38-C39)/1.302*0.302,1)</f>
        <v>-645.5</v>
      </c>
      <c r="D37" s="2">
        <f t="shared" si="10"/>
        <v>-602.1</v>
      </c>
      <c r="E37" s="2">
        <f t="shared" si="10"/>
        <v>-287.60000000000002</v>
      </c>
      <c r="F37" s="2">
        <f t="shared" si="10"/>
        <v>-316.2</v>
      </c>
      <c r="G37" s="2">
        <f t="shared" si="10"/>
        <v>-309.2</v>
      </c>
      <c r="H37" s="2">
        <f t="shared" si="10"/>
        <v>-665.9</v>
      </c>
      <c r="I37" s="2">
        <f t="shared" si="10"/>
        <v>-302.89999999999998</v>
      </c>
      <c r="J37" s="2">
        <f t="shared" si="10"/>
        <v>-641.5</v>
      </c>
      <c r="K37" s="369">
        <f t="shared" si="4"/>
        <v>-3874.0000000000005</v>
      </c>
    </row>
    <row r="38" spans="1:11" ht="18.75" hidden="1" x14ac:dyDescent="0.3">
      <c r="A38" s="112" t="s">
        <v>390</v>
      </c>
      <c r="B38" s="2">
        <f>B33</f>
        <v>5498.2</v>
      </c>
      <c r="C38" s="2">
        <f t="shared" ref="C38:J38" si="11">C33</f>
        <v>2782.9999999999995</v>
      </c>
      <c r="D38" s="2">
        <f t="shared" si="11"/>
        <v>2596</v>
      </c>
      <c r="E38" s="2">
        <f t="shared" si="11"/>
        <v>1239.8</v>
      </c>
      <c r="F38" s="2">
        <f t="shared" si="11"/>
        <v>1363.1000000000001</v>
      </c>
      <c r="G38" s="2">
        <f t="shared" si="11"/>
        <v>1333.1000000000001</v>
      </c>
      <c r="H38" s="2">
        <f t="shared" si="11"/>
        <v>2871</v>
      </c>
      <c r="I38" s="2">
        <f t="shared" si="11"/>
        <v>1305.8</v>
      </c>
      <c r="J38" s="2">
        <f t="shared" si="11"/>
        <v>2765.5</v>
      </c>
      <c r="K38" s="369">
        <f t="shared" si="4"/>
        <v>21755.499999999996</v>
      </c>
    </row>
    <row r="39" spans="1:11" ht="18.75" hidden="1" x14ac:dyDescent="0.3">
      <c r="A39" s="112" t="s">
        <v>391</v>
      </c>
      <c r="B39" s="2">
        <f>ROUND(((B19+B20+B21)*1.04)+B22+143.7+195.4,1)</f>
        <v>444.3</v>
      </c>
      <c r="C39" s="2">
        <f>C34</f>
        <v>2782.9999999999995</v>
      </c>
      <c r="D39" s="2">
        <f t="shared" ref="D39:J39" si="12">D34</f>
        <v>2596</v>
      </c>
      <c r="E39" s="2">
        <f t="shared" si="12"/>
        <v>1239.8</v>
      </c>
      <c r="F39" s="2">
        <f t="shared" si="12"/>
        <v>1363.1000000000001</v>
      </c>
      <c r="G39" s="2">
        <f t="shared" si="12"/>
        <v>1333.1000000000001</v>
      </c>
      <c r="H39" s="2">
        <f t="shared" si="12"/>
        <v>2871</v>
      </c>
      <c r="I39" s="2">
        <f t="shared" si="12"/>
        <v>1305.8</v>
      </c>
      <c r="J39" s="2">
        <f t="shared" si="12"/>
        <v>2765.5</v>
      </c>
      <c r="K39" s="369">
        <f t="shared" si="4"/>
        <v>16701.599999999999</v>
      </c>
    </row>
  </sheetData>
  <mergeCells count="5">
    <mergeCell ref="A3:K3"/>
    <mergeCell ref="J4:K4"/>
    <mergeCell ref="K5:K6"/>
    <mergeCell ref="A1:K1"/>
    <mergeCell ref="A2:K2"/>
  </mergeCells>
  <printOptions horizontalCentered="1"/>
  <pageMargins left="0.19685039370078741" right="0.19685039370078741" top="0.55000000000000004" bottom="0.19685039370078741" header="0.54" footer="0.28999999999999998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4"/>
  <sheetViews>
    <sheetView topLeftCell="A4" workbookViewId="0">
      <selection activeCell="G13" sqref="G13"/>
    </sheetView>
  </sheetViews>
  <sheetFormatPr defaultRowHeight="12.75" x14ac:dyDescent="0.2"/>
  <cols>
    <col min="1" max="1" width="54.42578125" customWidth="1"/>
    <col min="2" max="2" width="18.85546875" customWidth="1"/>
    <col min="3" max="3" width="18" customWidth="1"/>
    <col min="4" max="4" width="15.5703125" customWidth="1"/>
  </cols>
  <sheetData>
    <row r="1" spans="1:5" ht="15.75" x14ac:dyDescent="0.25">
      <c r="A1" s="656" t="s">
        <v>668</v>
      </c>
    </row>
    <row r="2" spans="1:5" ht="15.75" x14ac:dyDescent="0.25">
      <c r="A2" s="85"/>
    </row>
    <row r="3" spans="1:5" ht="47.25" x14ac:dyDescent="0.25">
      <c r="A3" s="31" t="s">
        <v>669</v>
      </c>
      <c r="B3" s="657">
        <v>1481.88</v>
      </c>
    </row>
    <row r="4" spans="1:5" ht="15.75" x14ac:dyDescent="0.25">
      <c r="A4" s="85"/>
      <c r="B4" s="658"/>
    </row>
    <row r="5" spans="1:5" ht="15.75" x14ac:dyDescent="0.25">
      <c r="A5" s="797" t="s">
        <v>670</v>
      </c>
      <c r="B5" s="797"/>
    </row>
    <row r="6" spans="1:5" ht="31.5" x14ac:dyDescent="0.25">
      <c r="A6" s="31" t="s">
        <v>671</v>
      </c>
      <c r="B6" s="657">
        <v>152.30000000000001</v>
      </c>
    </row>
    <row r="7" spans="1:5" ht="31.5" x14ac:dyDescent="0.25">
      <c r="A7" s="31" t="s">
        <v>672</v>
      </c>
      <c r="B7" s="657">
        <v>300</v>
      </c>
    </row>
    <row r="8" spans="1:5" ht="63" x14ac:dyDescent="0.25">
      <c r="A8" s="31" t="s">
        <v>673</v>
      </c>
      <c r="B8" s="798">
        <f>36.56+198.85</f>
        <v>235.41</v>
      </c>
      <c r="C8">
        <v>241.87</v>
      </c>
    </row>
    <row r="9" spans="1:5" ht="15.75" x14ac:dyDescent="0.2">
      <c r="A9" s="659" t="s">
        <v>674</v>
      </c>
      <c r="B9" s="798"/>
      <c r="C9">
        <v>0</v>
      </c>
    </row>
    <row r="10" spans="1:5" ht="63" x14ac:dyDescent="0.25">
      <c r="A10" s="31" t="s">
        <v>675</v>
      </c>
      <c r="B10" s="657">
        <v>8668.1</v>
      </c>
    </row>
    <row r="11" spans="1:5" ht="15.75" x14ac:dyDescent="0.25">
      <c r="A11" s="85"/>
      <c r="B11" s="658"/>
    </row>
    <row r="12" spans="1:5" ht="47.25" x14ac:dyDescent="0.25">
      <c r="A12" s="31" t="s">
        <v>676</v>
      </c>
      <c r="B12" s="657">
        <v>75824</v>
      </c>
      <c r="C12" s="660" t="s">
        <v>677</v>
      </c>
    </row>
    <row r="14" spans="1:5" ht="90" x14ac:dyDescent="0.2">
      <c r="A14" s="661" t="s">
        <v>1</v>
      </c>
      <c r="B14" s="554" t="s">
        <v>678</v>
      </c>
      <c r="C14" s="554" t="s">
        <v>679</v>
      </c>
    </row>
    <row r="15" spans="1:5" ht="15" x14ac:dyDescent="0.25">
      <c r="A15" s="662" t="s">
        <v>3</v>
      </c>
      <c r="B15" s="663">
        <v>20.350000000000001</v>
      </c>
      <c r="C15" s="728">
        <v>2192</v>
      </c>
      <c r="E15" s="664"/>
    </row>
    <row r="16" spans="1:5" ht="15" x14ac:dyDescent="0.25">
      <c r="A16" s="662" t="s">
        <v>680</v>
      </c>
      <c r="B16" s="665">
        <v>9</v>
      </c>
      <c r="C16" s="666">
        <v>976</v>
      </c>
      <c r="E16" s="664"/>
    </row>
    <row r="17" spans="1:5" ht="15" x14ac:dyDescent="0.25">
      <c r="A17" s="662" t="s">
        <v>681</v>
      </c>
      <c r="B17" s="665">
        <v>9</v>
      </c>
      <c r="C17" s="666">
        <v>976</v>
      </c>
      <c r="E17" s="664"/>
    </row>
    <row r="18" spans="1:5" ht="15" x14ac:dyDescent="0.25">
      <c r="A18" s="662" t="s">
        <v>682</v>
      </c>
      <c r="B18" s="665">
        <v>9</v>
      </c>
      <c r="C18" s="666">
        <v>976</v>
      </c>
      <c r="E18" s="664"/>
    </row>
    <row r="19" spans="1:5" ht="15" x14ac:dyDescent="0.25">
      <c r="A19" s="662" t="s">
        <v>683</v>
      </c>
      <c r="B19" s="665">
        <v>9</v>
      </c>
      <c r="C19" s="666">
        <v>976</v>
      </c>
      <c r="E19" s="664"/>
    </row>
    <row r="20" spans="1:5" ht="15" x14ac:dyDescent="0.25">
      <c r="A20" s="662" t="s">
        <v>684</v>
      </c>
      <c r="B20" s="665">
        <v>9</v>
      </c>
      <c r="C20" s="666">
        <v>976</v>
      </c>
      <c r="E20" s="664"/>
    </row>
    <row r="21" spans="1:5" ht="15" x14ac:dyDescent="0.25">
      <c r="A21" s="662" t="s">
        <v>685</v>
      </c>
      <c r="B21" s="665">
        <v>9</v>
      </c>
      <c r="C21" s="666">
        <v>976</v>
      </c>
      <c r="E21" s="664"/>
    </row>
    <row r="22" spans="1:5" ht="15" x14ac:dyDescent="0.25">
      <c r="A22" s="662" t="s">
        <v>686</v>
      </c>
      <c r="B22" s="665">
        <v>9</v>
      </c>
      <c r="C22" s="666">
        <v>976</v>
      </c>
      <c r="E22" s="664"/>
    </row>
    <row r="23" spans="1:5" ht="15" x14ac:dyDescent="0.25">
      <c r="A23" s="662" t="s">
        <v>687</v>
      </c>
      <c r="B23" s="665">
        <v>9</v>
      </c>
      <c r="C23" s="666">
        <v>976</v>
      </c>
      <c r="E23" s="664"/>
    </row>
    <row r="24" spans="1:5" ht="15" x14ac:dyDescent="0.25">
      <c r="A24" s="667" t="s">
        <v>17</v>
      </c>
      <c r="B24" s="663">
        <v>92.35</v>
      </c>
      <c r="C24" s="668">
        <v>10000</v>
      </c>
      <c r="D24" s="664"/>
      <c r="E24" s="664"/>
    </row>
  </sheetData>
  <mergeCells count="2">
    <mergeCell ref="A5:B5"/>
    <mergeCell ref="B8:B9"/>
  </mergeCells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4"/>
  <sheetViews>
    <sheetView view="pageBreakPreview" topLeftCell="A25" zoomScaleNormal="100" zoomScaleSheetLayoutView="100" workbookViewId="0">
      <selection activeCell="J74" sqref="J74"/>
    </sheetView>
  </sheetViews>
  <sheetFormatPr defaultRowHeight="15.75" x14ac:dyDescent="0.25"/>
  <cols>
    <col min="1" max="1" width="50" style="209" customWidth="1"/>
    <col min="2" max="2" width="13.140625" style="209" customWidth="1"/>
    <col min="3" max="3" width="12" style="209" customWidth="1"/>
    <col min="4" max="4" width="11.85546875" style="209" customWidth="1"/>
    <col min="5" max="5" width="12.28515625" style="209" customWidth="1"/>
    <col min="6" max="6" width="12.7109375" style="209" customWidth="1"/>
    <col min="7" max="7" width="11" style="209" bestFit="1" customWidth="1"/>
    <col min="8" max="8" width="11.140625" style="209" customWidth="1"/>
    <col min="9" max="9" width="12.28515625" style="209" customWidth="1"/>
    <col min="10" max="10" width="10.42578125" style="209" customWidth="1"/>
    <col min="11" max="11" width="11.85546875" style="209" customWidth="1"/>
    <col min="12" max="12" width="8.5703125" style="209" hidden="1" customWidth="1"/>
    <col min="13" max="13" width="9.140625" style="209"/>
    <col min="14" max="14" width="13.140625" style="209" customWidth="1"/>
    <col min="15" max="16384" width="9.140625" style="209"/>
  </cols>
  <sheetData>
    <row r="1" spans="1:12" x14ac:dyDescent="0.25">
      <c r="A1" s="730" t="s">
        <v>53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2" ht="79.5" customHeight="1" x14ac:dyDescent="0.25">
      <c r="A2" s="799" t="s">
        <v>650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624"/>
    </row>
    <row r="3" spans="1:12" x14ac:dyDescent="0.25">
      <c r="K3" s="623" t="s">
        <v>609</v>
      </c>
    </row>
    <row r="4" spans="1:12" ht="78.75" x14ac:dyDescent="0.25">
      <c r="A4" s="545" t="s">
        <v>0</v>
      </c>
      <c r="B4" s="545" t="s">
        <v>649</v>
      </c>
      <c r="C4" s="545" t="s">
        <v>648</v>
      </c>
      <c r="D4" s="545" t="s">
        <v>58</v>
      </c>
      <c r="E4" s="545" t="s">
        <v>63</v>
      </c>
      <c r="F4" s="545" t="s">
        <v>62</v>
      </c>
      <c r="G4" s="545" t="s">
        <v>57</v>
      </c>
      <c r="H4" s="545" t="s">
        <v>55</v>
      </c>
      <c r="I4" s="545" t="s">
        <v>61</v>
      </c>
      <c r="J4" s="545" t="s">
        <v>60</v>
      </c>
      <c r="K4" s="545" t="s">
        <v>64</v>
      </c>
      <c r="L4" s="545" t="s">
        <v>603</v>
      </c>
    </row>
    <row r="5" spans="1:12" s="583" customFormat="1" ht="16.5" customHeight="1" x14ac:dyDescent="0.2">
      <c r="A5" s="621" t="s">
        <v>647</v>
      </c>
      <c r="B5" s="622">
        <f>SUM(C5:K5)</f>
        <v>17088</v>
      </c>
      <c r="C5" s="622">
        <v>7024</v>
      </c>
      <c r="D5" s="622">
        <v>1746</v>
      </c>
      <c r="E5" s="622">
        <v>1367</v>
      </c>
      <c r="F5" s="622">
        <v>1367</v>
      </c>
      <c r="G5" s="622">
        <v>935</v>
      </c>
      <c r="H5" s="622">
        <v>893</v>
      </c>
      <c r="I5" s="622">
        <v>1541</v>
      </c>
      <c r="J5" s="622">
        <v>169</v>
      </c>
      <c r="K5" s="622">
        <v>2046</v>
      </c>
      <c r="L5" s="621"/>
    </row>
    <row r="6" spans="1:12" s="583" customFormat="1" ht="17.25" customHeight="1" x14ac:dyDescent="0.2">
      <c r="A6" s="584" t="s">
        <v>646</v>
      </c>
      <c r="B6" s="620">
        <f>SUM(C6:K6)</f>
        <v>10907.184707999997</v>
      </c>
      <c r="C6" s="588">
        <f t="shared" ref="C6:K6" si="0">C20+C33+C47+C60</f>
        <v>3054.9732191999997</v>
      </c>
      <c r="D6" s="588">
        <f t="shared" si="0"/>
        <v>1080.3558527999999</v>
      </c>
      <c r="E6" s="588">
        <f t="shared" si="0"/>
        <v>1080.3558527999999</v>
      </c>
      <c r="F6" s="588">
        <f t="shared" si="0"/>
        <v>1833.9638688</v>
      </c>
      <c r="G6" s="588">
        <f t="shared" si="0"/>
        <v>540.17792639999993</v>
      </c>
      <c r="H6" s="588">
        <f t="shared" si="0"/>
        <v>540.17792639999993</v>
      </c>
      <c r="I6" s="588">
        <f t="shared" si="0"/>
        <v>1080.3558527999999</v>
      </c>
      <c r="J6" s="588">
        <f t="shared" si="0"/>
        <v>616.46835600000009</v>
      </c>
      <c r="K6" s="588">
        <f t="shared" si="0"/>
        <v>1080.3558527999999</v>
      </c>
      <c r="L6" s="584"/>
    </row>
    <row r="7" spans="1:12" s="583" customFormat="1" ht="17.25" customHeight="1" x14ac:dyDescent="0.2">
      <c r="A7" s="584" t="s">
        <v>645</v>
      </c>
      <c r="B7" s="588">
        <f>SUM(C7:K7)</f>
        <v>10.5</v>
      </c>
      <c r="C7" s="588">
        <f>C9+C22</f>
        <v>3</v>
      </c>
      <c r="D7" s="588">
        <f>D9+D22</f>
        <v>1</v>
      </c>
      <c r="E7" s="588">
        <v>1</v>
      </c>
      <c r="F7" s="588">
        <v>2</v>
      </c>
      <c r="G7" s="588">
        <v>0.5</v>
      </c>
      <c r="H7" s="588">
        <v>0.5</v>
      </c>
      <c r="I7" s="588">
        <v>1</v>
      </c>
      <c r="J7" s="588">
        <f>J9+J22</f>
        <v>0.5</v>
      </c>
      <c r="K7" s="588">
        <f>K9+K22</f>
        <v>1</v>
      </c>
      <c r="L7" s="584"/>
    </row>
    <row r="8" spans="1:12" s="583" customFormat="1" ht="16.5" thickBot="1" x14ac:dyDescent="0.25">
      <c r="A8" s="619" t="s">
        <v>644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584"/>
    </row>
    <row r="9" spans="1:12" s="589" customFormat="1" ht="31.5" x14ac:dyDescent="0.2">
      <c r="A9" s="615" t="s">
        <v>643</v>
      </c>
      <c r="B9" s="610">
        <f>SUM(C9:K9)</f>
        <v>7.5</v>
      </c>
      <c r="C9" s="610">
        <v>1</v>
      </c>
      <c r="D9" s="610">
        <v>1</v>
      </c>
      <c r="E9" s="610">
        <v>1</v>
      </c>
      <c r="F9" s="610">
        <v>1</v>
      </c>
      <c r="G9" s="610">
        <v>0.5</v>
      </c>
      <c r="H9" s="610">
        <v>0.5</v>
      </c>
      <c r="I9" s="610">
        <v>1</v>
      </c>
      <c r="J9" s="610">
        <v>0.5</v>
      </c>
      <c r="K9" s="609">
        <v>1</v>
      </c>
      <c r="L9" s="608"/>
    </row>
    <row r="10" spans="1:12" s="583" customFormat="1" x14ac:dyDescent="0.2">
      <c r="A10" s="605" t="s">
        <v>642</v>
      </c>
      <c r="B10" s="588"/>
      <c r="C10" s="588">
        <v>6.0152000000000001</v>
      </c>
      <c r="D10" s="588">
        <v>6.0152000000000001</v>
      </c>
      <c r="E10" s="588">
        <v>6.0152000000000001</v>
      </c>
      <c r="F10" s="588">
        <v>6.0152000000000001</v>
      </c>
      <c r="G10" s="588">
        <v>6.0152000000000001</v>
      </c>
      <c r="H10" s="588">
        <v>6.0152000000000001</v>
      </c>
      <c r="I10" s="588">
        <v>6.0152000000000001</v>
      </c>
      <c r="J10" s="588">
        <v>6.9029999999999996</v>
      </c>
      <c r="K10" s="588">
        <v>6.0152000000000001</v>
      </c>
      <c r="L10" s="588"/>
    </row>
    <row r="11" spans="1:12" s="583" customFormat="1" ht="31.5" x14ac:dyDescent="0.2">
      <c r="A11" s="605" t="s">
        <v>641</v>
      </c>
      <c r="B11" s="588"/>
      <c r="C11" s="591">
        <f t="shared" ref="C11:K11" si="1">C10*0.6</f>
        <v>3.6091199999999999</v>
      </c>
      <c r="D11" s="591">
        <f t="shared" si="1"/>
        <v>3.6091199999999999</v>
      </c>
      <c r="E11" s="591">
        <f t="shared" si="1"/>
        <v>3.6091199999999999</v>
      </c>
      <c r="F11" s="591">
        <f t="shared" si="1"/>
        <v>3.6091199999999999</v>
      </c>
      <c r="G11" s="591">
        <f t="shared" si="1"/>
        <v>3.6091199999999999</v>
      </c>
      <c r="H11" s="591">
        <f t="shared" si="1"/>
        <v>3.6091199999999999</v>
      </c>
      <c r="I11" s="591">
        <f t="shared" si="1"/>
        <v>3.6091199999999999</v>
      </c>
      <c r="J11" s="591">
        <f t="shared" si="1"/>
        <v>4.1417999999999999</v>
      </c>
      <c r="K11" s="591">
        <f t="shared" si="1"/>
        <v>3.6091199999999999</v>
      </c>
      <c r="L11" s="603"/>
    </row>
    <row r="12" spans="1:12" s="583" customFormat="1" x14ac:dyDescent="0.2">
      <c r="A12" s="605" t="s">
        <v>634</v>
      </c>
      <c r="B12" s="588"/>
      <c r="C12" s="588">
        <f t="shared" ref="C12:K12" si="2">C10*0.3</f>
        <v>1.8045599999999999</v>
      </c>
      <c r="D12" s="588">
        <f t="shared" si="2"/>
        <v>1.8045599999999999</v>
      </c>
      <c r="E12" s="588">
        <f t="shared" si="2"/>
        <v>1.8045599999999999</v>
      </c>
      <c r="F12" s="588">
        <f t="shared" si="2"/>
        <v>1.8045599999999999</v>
      </c>
      <c r="G12" s="588">
        <f t="shared" si="2"/>
        <v>1.8045599999999999</v>
      </c>
      <c r="H12" s="588">
        <f t="shared" si="2"/>
        <v>1.8045599999999999</v>
      </c>
      <c r="I12" s="588">
        <f t="shared" si="2"/>
        <v>1.8045599999999999</v>
      </c>
      <c r="J12" s="588">
        <f t="shared" si="2"/>
        <v>2.0709</v>
      </c>
      <c r="K12" s="588">
        <f t="shared" si="2"/>
        <v>1.8045599999999999</v>
      </c>
      <c r="L12" s="603"/>
    </row>
    <row r="13" spans="1:12" s="583" customFormat="1" ht="14.25" customHeight="1" x14ac:dyDescent="0.2">
      <c r="A13" s="605" t="s">
        <v>633</v>
      </c>
      <c r="B13" s="588"/>
      <c r="C13" s="591">
        <v>1.1919999999999999</v>
      </c>
      <c r="D13" s="591">
        <v>1.1919999999999999</v>
      </c>
      <c r="E13" s="591">
        <v>1.1919999999999999</v>
      </c>
      <c r="F13" s="591">
        <v>1.1919999999999999</v>
      </c>
      <c r="G13" s="591">
        <v>1.1919999999999999</v>
      </c>
      <c r="H13" s="591">
        <v>1.1919999999999999</v>
      </c>
      <c r="I13" s="591">
        <v>1.1919999999999999</v>
      </c>
      <c r="J13" s="591">
        <v>1.1919999999999999</v>
      </c>
      <c r="K13" s="591">
        <v>1.1919999999999999</v>
      </c>
      <c r="L13" s="606"/>
    </row>
    <row r="14" spans="1:12" s="583" customFormat="1" x14ac:dyDescent="0.2">
      <c r="A14" s="605" t="s">
        <v>640</v>
      </c>
      <c r="B14" s="588"/>
      <c r="C14" s="591">
        <f t="shared" ref="C14:K14" si="3">C10*2</f>
        <v>12.0304</v>
      </c>
      <c r="D14" s="591">
        <f t="shared" si="3"/>
        <v>12.0304</v>
      </c>
      <c r="E14" s="591">
        <f t="shared" si="3"/>
        <v>12.0304</v>
      </c>
      <c r="F14" s="591">
        <f t="shared" si="3"/>
        <v>12.0304</v>
      </c>
      <c r="G14" s="591">
        <f t="shared" si="3"/>
        <v>12.0304</v>
      </c>
      <c r="H14" s="591">
        <f t="shared" si="3"/>
        <v>12.0304</v>
      </c>
      <c r="I14" s="591">
        <f t="shared" si="3"/>
        <v>12.0304</v>
      </c>
      <c r="J14" s="591">
        <f t="shared" si="3"/>
        <v>13.805999999999999</v>
      </c>
      <c r="K14" s="591">
        <f t="shared" si="3"/>
        <v>12.0304</v>
      </c>
      <c r="L14" s="603"/>
    </row>
    <row r="15" spans="1:12" s="583" customFormat="1" x14ac:dyDescent="0.2">
      <c r="A15" s="605" t="s">
        <v>631</v>
      </c>
      <c r="B15" s="588"/>
      <c r="C15" s="591">
        <f t="shared" ref="C15:K15" si="4">C10*0.25</f>
        <v>1.5038</v>
      </c>
      <c r="D15" s="591">
        <f t="shared" si="4"/>
        <v>1.5038</v>
      </c>
      <c r="E15" s="591">
        <f t="shared" si="4"/>
        <v>1.5038</v>
      </c>
      <c r="F15" s="591">
        <f t="shared" si="4"/>
        <v>1.5038</v>
      </c>
      <c r="G15" s="591">
        <f t="shared" si="4"/>
        <v>1.5038</v>
      </c>
      <c r="H15" s="591">
        <f t="shared" si="4"/>
        <v>1.5038</v>
      </c>
      <c r="I15" s="591">
        <f t="shared" si="4"/>
        <v>1.5038</v>
      </c>
      <c r="J15" s="591">
        <f t="shared" si="4"/>
        <v>1.7257499999999999</v>
      </c>
      <c r="K15" s="591">
        <f t="shared" si="4"/>
        <v>1.5038</v>
      </c>
      <c r="L15" s="603"/>
    </row>
    <row r="16" spans="1:12" s="583" customFormat="1" ht="47.25" x14ac:dyDescent="0.2">
      <c r="A16" s="605" t="s">
        <v>639</v>
      </c>
      <c r="B16" s="588"/>
      <c r="C16" s="591">
        <f t="shared" ref="C16:K16" si="5">C10*0.25</f>
        <v>1.5038</v>
      </c>
      <c r="D16" s="591">
        <f t="shared" si="5"/>
        <v>1.5038</v>
      </c>
      <c r="E16" s="591">
        <f t="shared" si="5"/>
        <v>1.5038</v>
      </c>
      <c r="F16" s="591">
        <f t="shared" si="5"/>
        <v>1.5038</v>
      </c>
      <c r="G16" s="591">
        <f t="shared" si="5"/>
        <v>1.5038</v>
      </c>
      <c r="H16" s="591">
        <f t="shared" si="5"/>
        <v>1.5038</v>
      </c>
      <c r="I16" s="591">
        <f t="shared" si="5"/>
        <v>1.5038</v>
      </c>
      <c r="J16" s="591">
        <f t="shared" si="5"/>
        <v>1.7257499999999999</v>
      </c>
      <c r="K16" s="591">
        <f t="shared" si="5"/>
        <v>1.5038</v>
      </c>
      <c r="L16" s="603"/>
    </row>
    <row r="17" spans="1:14" s="583" customFormat="1" x14ac:dyDescent="0.2">
      <c r="A17" s="605" t="s">
        <v>629</v>
      </c>
      <c r="B17" s="588"/>
      <c r="C17" s="591">
        <f t="shared" ref="C17:K17" si="6">(C10+C11+C12+C13+C14+C15+C16)*0.7</f>
        <v>19.361215999999995</v>
      </c>
      <c r="D17" s="591">
        <f t="shared" si="6"/>
        <v>19.361215999999995</v>
      </c>
      <c r="E17" s="591">
        <f t="shared" si="6"/>
        <v>19.361215999999995</v>
      </c>
      <c r="F17" s="591">
        <f t="shared" si="6"/>
        <v>19.361215999999995</v>
      </c>
      <c r="G17" s="591">
        <f t="shared" si="6"/>
        <v>19.361215999999995</v>
      </c>
      <c r="H17" s="591">
        <f t="shared" si="6"/>
        <v>19.361215999999995</v>
      </c>
      <c r="I17" s="591">
        <f t="shared" si="6"/>
        <v>19.361215999999995</v>
      </c>
      <c r="J17" s="591">
        <f t="shared" si="6"/>
        <v>22.09564</v>
      </c>
      <c r="K17" s="591">
        <f t="shared" si="6"/>
        <v>19.361215999999995</v>
      </c>
      <c r="L17" s="603"/>
    </row>
    <row r="18" spans="1:14" s="583" customFormat="1" x14ac:dyDescent="0.2">
      <c r="A18" s="605" t="s">
        <v>628</v>
      </c>
      <c r="B18" s="588"/>
      <c r="C18" s="591">
        <f t="shared" ref="C18:K18" si="7">(C10+C11+C12+C13+C14+C15+C16)*0.8</f>
        <v>22.127103999999999</v>
      </c>
      <c r="D18" s="591">
        <f t="shared" si="7"/>
        <v>22.127103999999999</v>
      </c>
      <c r="E18" s="591">
        <f t="shared" si="7"/>
        <v>22.127103999999999</v>
      </c>
      <c r="F18" s="591">
        <f t="shared" si="7"/>
        <v>22.127103999999999</v>
      </c>
      <c r="G18" s="591">
        <f t="shared" si="7"/>
        <v>22.127103999999999</v>
      </c>
      <c r="H18" s="591">
        <f t="shared" si="7"/>
        <v>22.127103999999999</v>
      </c>
      <c r="I18" s="591">
        <f t="shared" si="7"/>
        <v>22.127103999999999</v>
      </c>
      <c r="J18" s="591">
        <f t="shared" si="7"/>
        <v>25.252160000000003</v>
      </c>
      <c r="K18" s="591">
        <f t="shared" si="7"/>
        <v>22.127103999999999</v>
      </c>
      <c r="L18" s="606"/>
    </row>
    <row r="19" spans="1:14" s="583" customFormat="1" ht="16.5" thickBot="1" x14ac:dyDescent="0.25">
      <c r="A19" s="602" t="s">
        <v>627</v>
      </c>
      <c r="B19" s="601"/>
      <c r="C19" s="601">
        <f t="shared" ref="C19:K19" si="8">(SUM(C10:C18)*C9*12)*0.302</f>
        <v>250.58945279999998</v>
      </c>
      <c r="D19" s="601">
        <f t="shared" si="8"/>
        <v>250.58945279999998</v>
      </c>
      <c r="E19" s="601">
        <f t="shared" si="8"/>
        <v>250.58945279999998</v>
      </c>
      <c r="F19" s="601">
        <f t="shared" si="8"/>
        <v>250.58945279999998</v>
      </c>
      <c r="G19" s="601">
        <f t="shared" si="8"/>
        <v>125.29472639999999</v>
      </c>
      <c r="H19" s="601">
        <f t="shared" si="8"/>
        <v>125.29472639999999</v>
      </c>
      <c r="I19" s="601">
        <f t="shared" si="8"/>
        <v>250.58945279999998</v>
      </c>
      <c r="J19" s="601">
        <f t="shared" si="8"/>
        <v>142.99035600000002</v>
      </c>
      <c r="K19" s="601">
        <f t="shared" si="8"/>
        <v>250.58945279999998</v>
      </c>
      <c r="L19" s="606"/>
    </row>
    <row r="20" spans="1:14" s="583" customFormat="1" ht="16.5" thickBot="1" x14ac:dyDescent="0.25">
      <c r="A20" s="598" t="s">
        <v>638</v>
      </c>
      <c r="B20" s="597">
        <v>8179.3</v>
      </c>
      <c r="C20" s="597">
        <f t="shared" ref="C20:K20" si="9">(SUM(C10:C18)*C9*12)+C19</f>
        <v>1080.3558527999999</v>
      </c>
      <c r="D20" s="597">
        <f t="shared" si="9"/>
        <v>1080.3558527999999</v>
      </c>
      <c r="E20" s="597">
        <f t="shared" si="9"/>
        <v>1080.3558527999999</v>
      </c>
      <c r="F20" s="597">
        <f t="shared" si="9"/>
        <v>1080.3558527999999</v>
      </c>
      <c r="G20" s="597">
        <f t="shared" si="9"/>
        <v>540.17792639999993</v>
      </c>
      <c r="H20" s="597">
        <f t="shared" si="9"/>
        <v>540.17792639999993</v>
      </c>
      <c r="I20" s="597">
        <f t="shared" si="9"/>
        <v>1080.3558527999999</v>
      </c>
      <c r="J20" s="597">
        <f t="shared" si="9"/>
        <v>616.46835600000009</v>
      </c>
      <c r="K20" s="597">
        <f t="shared" si="9"/>
        <v>1080.3558527999999</v>
      </c>
      <c r="L20" s="603"/>
    </row>
    <row r="21" spans="1:14" s="583" customFormat="1" ht="16.5" customHeight="1" thickBot="1" x14ac:dyDescent="0.25">
      <c r="A21" s="614"/>
      <c r="B21" s="613"/>
      <c r="C21" s="612"/>
      <c r="D21" s="612"/>
      <c r="E21" s="612"/>
      <c r="F21" s="612"/>
      <c r="G21" s="612"/>
      <c r="H21" s="612"/>
      <c r="I21" s="612"/>
      <c r="J21" s="612"/>
      <c r="K21" s="612"/>
      <c r="L21" s="584"/>
    </row>
    <row r="22" spans="1:14" s="589" customFormat="1" ht="31.5" x14ac:dyDescent="0.2">
      <c r="A22" s="611" t="s">
        <v>637</v>
      </c>
      <c r="B22" s="610">
        <f>SUM(C22:K22)</f>
        <v>3</v>
      </c>
      <c r="C22" s="610">
        <v>2</v>
      </c>
      <c r="D22" s="610">
        <v>0</v>
      </c>
      <c r="E22" s="610">
        <v>0</v>
      </c>
      <c r="F22" s="610">
        <v>1</v>
      </c>
      <c r="G22" s="610">
        <v>0</v>
      </c>
      <c r="H22" s="610">
        <v>0</v>
      </c>
      <c r="I22" s="610">
        <v>0</v>
      </c>
      <c r="J22" s="610">
        <v>0</v>
      </c>
      <c r="K22" s="609">
        <v>0</v>
      </c>
      <c r="L22" s="608"/>
    </row>
    <row r="23" spans="1:14" s="583" customFormat="1" x14ac:dyDescent="0.2">
      <c r="A23" s="605" t="s">
        <v>636</v>
      </c>
      <c r="B23" s="588"/>
      <c r="C23" s="588">
        <v>5.4737999999999998</v>
      </c>
      <c r="D23" s="588"/>
      <c r="E23" s="588"/>
      <c r="F23" s="588">
        <v>4.1139999999999999</v>
      </c>
      <c r="G23" s="588"/>
      <c r="H23" s="588"/>
      <c r="I23" s="588"/>
      <c r="J23" s="588"/>
      <c r="K23" s="588"/>
      <c r="L23" s="603"/>
    </row>
    <row r="24" spans="1:14" s="583" customFormat="1" ht="31.5" x14ac:dyDescent="0.2">
      <c r="A24" s="605" t="s">
        <v>635</v>
      </c>
      <c r="B24" s="588"/>
      <c r="C24" s="591">
        <f>C23*0.6</f>
        <v>3.2842799999999999</v>
      </c>
      <c r="D24" s="591"/>
      <c r="E24" s="591"/>
      <c r="F24" s="591">
        <f>F23*0.6</f>
        <v>2.4683999999999999</v>
      </c>
      <c r="G24" s="591"/>
      <c r="H24" s="591"/>
      <c r="I24" s="591"/>
      <c r="J24" s="591"/>
      <c r="K24" s="604"/>
      <c r="L24" s="603"/>
    </row>
    <row r="25" spans="1:14" s="583" customFormat="1" x14ac:dyDescent="0.2">
      <c r="A25" s="605" t="s">
        <v>634</v>
      </c>
      <c r="B25" s="588"/>
      <c r="C25" s="588">
        <f>C23*0.3</f>
        <v>1.6421399999999999</v>
      </c>
      <c r="D25" s="588"/>
      <c r="E25" s="588"/>
      <c r="F25" s="588">
        <f>F23*0.3</f>
        <v>1.2342</v>
      </c>
      <c r="G25" s="588"/>
      <c r="H25" s="588"/>
      <c r="I25" s="588"/>
      <c r="J25" s="588"/>
      <c r="K25" s="607"/>
      <c r="L25" s="603"/>
    </row>
    <row r="26" spans="1:14" s="583" customFormat="1" ht="14.25" customHeight="1" x14ac:dyDescent="0.2">
      <c r="A26" s="605" t="s">
        <v>633</v>
      </c>
      <c r="B26" s="588"/>
      <c r="C26" s="591">
        <v>1.1919999999999999</v>
      </c>
      <c r="D26" s="591"/>
      <c r="E26" s="591"/>
      <c r="F26" s="591">
        <v>1.1919999999999999</v>
      </c>
      <c r="G26" s="591"/>
      <c r="H26" s="591"/>
      <c r="I26" s="591"/>
      <c r="J26" s="591"/>
      <c r="K26" s="604"/>
      <c r="L26" s="606"/>
    </row>
    <row r="27" spans="1:14" s="583" customFormat="1" x14ac:dyDescent="0.2">
      <c r="A27" s="605" t="s">
        <v>632</v>
      </c>
      <c r="B27" s="588"/>
      <c r="C27" s="591">
        <f>C23*2</f>
        <v>10.9476</v>
      </c>
      <c r="D27" s="591"/>
      <c r="E27" s="591"/>
      <c r="F27" s="591">
        <f>F23*2</f>
        <v>8.2279999999999998</v>
      </c>
      <c r="G27" s="591"/>
      <c r="H27" s="591"/>
      <c r="I27" s="591"/>
      <c r="J27" s="591"/>
      <c r="K27" s="591"/>
      <c r="L27" s="603"/>
    </row>
    <row r="28" spans="1:14" s="583" customFormat="1" x14ac:dyDescent="0.2">
      <c r="A28" s="605" t="s">
        <v>631</v>
      </c>
      <c r="B28" s="588"/>
      <c r="C28" s="591">
        <f>C23*0.25</f>
        <v>1.3684499999999999</v>
      </c>
      <c r="D28" s="591"/>
      <c r="E28" s="591"/>
      <c r="F28" s="591">
        <f>F23*0.25</f>
        <v>1.0285</v>
      </c>
      <c r="G28" s="591"/>
      <c r="H28" s="591"/>
      <c r="I28" s="591"/>
      <c r="J28" s="591"/>
      <c r="K28" s="604"/>
      <c r="L28" s="603"/>
    </row>
    <row r="29" spans="1:14" s="583" customFormat="1" ht="47.25" x14ac:dyDescent="0.2">
      <c r="A29" s="605" t="s">
        <v>630</v>
      </c>
      <c r="B29" s="588"/>
      <c r="C29" s="591">
        <f>C23*0.25</f>
        <v>1.3684499999999999</v>
      </c>
      <c r="D29" s="591"/>
      <c r="E29" s="591"/>
      <c r="F29" s="591">
        <f>F23*0.25</f>
        <v>1.0285</v>
      </c>
      <c r="G29" s="591"/>
      <c r="H29" s="591"/>
      <c r="I29" s="591"/>
      <c r="J29" s="591"/>
      <c r="K29" s="604"/>
      <c r="L29" s="603"/>
    </row>
    <row r="30" spans="1:14" s="583" customFormat="1" x14ac:dyDescent="0.2">
      <c r="A30" s="605" t="s">
        <v>629</v>
      </c>
      <c r="B30" s="588"/>
      <c r="C30" s="591">
        <f>(C23+C24+C25+C26+C27+C28+C29)*0.7</f>
        <v>17.693703999999997</v>
      </c>
      <c r="D30" s="591"/>
      <c r="E30" s="591"/>
      <c r="F30" s="591">
        <f>(F23+F24+F25+F26+F27+F28+F29)*0.7</f>
        <v>13.505520000000001</v>
      </c>
      <c r="G30" s="591"/>
      <c r="H30" s="591"/>
      <c r="I30" s="591"/>
      <c r="J30" s="591"/>
      <c r="K30" s="604"/>
      <c r="L30" s="603"/>
      <c r="N30" s="618"/>
    </row>
    <row r="31" spans="1:14" s="583" customFormat="1" x14ac:dyDescent="0.2">
      <c r="A31" s="605" t="s">
        <v>628</v>
      </c>
      <c r="B31" s="588"/>
      <c r="C31" s="591">
        <f>(C23+C24+C25+C26+C27+C28+C29)*0.8</f>
        <v>20.221375999999999</v>
      </c>
      <c r="D31" s="591"/>
      <c r="E31" s="591"/>
      <c r="F31" s="591">
        <f>(F23+F24+F25+F26+F27+F28+F29)*0.8</f>
        <v>15.434880000000001</v>
      </c>
      <c r="G31" s="591"/>
      <c r="H31" s="591"/>
      <c r="I31" s="591"/>
      <c r="J31" s="591"/>
      <c r="K31" s="604"/>
      <c r="L31" s="603"/>
    </row>
    <row r="32" spans="1:14" s="583" customFormat="1" ht="16.5" thickBot="1" x14ac:dyDescent="0.25">
      <c r="A32" s="602" t="s">
        <v>627</v>
      </c>
      <c r="B32" s="601"/>
      <c r="C32" s="601">
        <f>(SUM(C23:C31)*C22*12)*0.302</f>
        <v>458.01416639999991</v>
      </c>
      <c r="D32" s="601"/>
      <c r="E32" s="601"/>
      <c r="F32" s="601">
        <f>(SUM(F23:F31)*F22*12)*0.302</f>
        <v>174.800016</v>
      </c>
      <c r="G32" s="601"/>
      <c r="H32" s="601"/>
      <c r="I32" s="601"/>
      <c r="J32" s="601"/>
      <c r="K32" s="600"/>
      <c r="L32" s="599"/>
    </row>
    <row r="33" spans="1:14" s="583" customFormat="1" ht="16.5" thickBot="1" x14ac:dyDescent="0.25">
      <c r="A33" s="598" t="s">
        <v>626</v>
      </c>
      <c r="B33" s="597">
        <f>SUM(C33:K33)</f>
        <v>2728.2253823999999</v>
      </c>
      <c r="C33" s="597">
        <f>(SUM(C23:C31)*C22*12)+C32</f>
        <v>1974.6173663999998</v>
      </c>
      <c r="D33" s="597"/>
      <c r="E33" s="597"/>
      <c r="F33" s="597">
        <f>(SUM(F23:F31)*F22*12)+F32</f>
        <v>753.60801600000002</v>
      </c>
      <c r="G33" s="597"/>
      <c r="H33" s="597"/>
      <c r="I33" s="597"/>
      <c r="J33" s="597"/>
      <c r="K33" s="596"/>
      <c r="L33" s="595"/>
      <c r="N33" s="618"/>
    </row>
    <row r="34" spans="1:14" s="583" customFormat="1" ht="21.75" hidden="1" customHeight="1" x14ac:dyDescent="0.2">
      <c r="A34" s="594"/>
      <c r="B34" s="613"/>
      <c r="C34" s="613"/>
      <c r="D34" s="613"/>
      <c r="E34" s="613"/>
      <c r="F34" s="613"/>
      <c r="G34" s="613"/>
      <c r="H34" s="613"/>
      <c r="I34" s="613"/>
      <c r="J34" s="613"/>
      <c r="K34" s="617"/>
      <c r="L34" s="616"/>
    </row>
    <row r="35" spans="1:14" s="583" customFormat="1" hidden="1" x14ac:dyDescent="0.2">
      <c r="A35" s="594"/>
      <c r="B35" s="613"/>
      <c r="C35" s="613"/>
      <c r="D35" s="613"/>
      <c r="E35" s="613"/>
      <c r="F35" s="613"/>
      <c r="G35" s="613"/>
      <c r="H35" s="613"/>
      <c r="I35" s="613"/>
      <c r="J35" s="613"/>
      <c r="K35" s="617"/>
      <c r="L35" s="616"/>
    </row>
    <row r="36" spans="1:14" s="589" customFormat="1" hidden="1" x14ac:dyDescent="0.2">
      <c r="A36" s="615"/>
      <c r="B36" s="610"/>
      <c r="C36" s="610"/>
      <c r="D36" s="610"/>
      <c r="E36" s="610"/>
      <c r="F36" s="610"/>
      <c r="G36" s="610"/>
      <c r="H36" s="610"/>
      <c r="I36" s="610"/>
      <c r="J36" s="610"/>
      <c r="K36" s="609"/>
      <c r="L36" s="608"/>
    </row>
    <row r="37" spans="1:14" s="583" customFormat="1" hidden="1" x14ac:dyDescent="0.2">
      <c r="A37" s="605"/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603"/>
    </row>
    <row r="38" spans="1:14" s="583" customFormat="1" hidden="1" x14ac:dyDescent="0.2">
      <c r="A38" s="605"/>
      <c r="B38" s="588"/>
      <c r="C38" s="591"/>
      <c r="D38" s="591"/>
      <c r="E38" s="591"/>
      <c r="F38" s="591"/>
      <c r="G38" s="591"/>
      <c r="H38" s="591"/>
      <c r="I38" s="591"/>
      <c r="J38" s="591"/>
      <c r="K38" s="591"/>
      <c r="L38" s="603"/>
    </row>
    <row r="39" spans="1:14" s="583" customFormat="1" hidden="1" x14ac:dyDescent="0.2">
      <c r="A39" s="605"/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603"/>
    </row>
    <row r="40" spans="1:14" s="583" customFormat="1" ht="14.25" hidden="1" customHeight="1" x14ac:dyDescent="0.2">
      <c r="A40" s="605"/>
      <c r="B40" s="588"/>
      <c r="C40" s="591"/>
      <c r="D40" s="591"/>
      <c r="E40" s="591"/>
      <c r="F40" s="591"/>
      <c r="G40" s="591"/>
      <c r="H40" s="591"/>
      <c r="I40" s="591"/>
      <c r="J40" s="591"/>
      <c r="K40" s="591"/>
      <c r="L40" s="606"/>
    </row>
    <row r="41" spans="1:14" s="583" customFormat="1" hidden="1" x14ac:dyDescent="0.2">
      <c r="A41" s="605"/>
      <c r="B41" s="588"/>
      <c r="C41" s="591"/>
      <c r="D41" s="591"/>
      <c r="E41" s="591"/>
      <c r="F41" s="591"/>
      <c r="G41" s="591"/>
      <c r="H41" s="591"/>
      <c r="I41" s="591"/>
      <c r="J41" s="591"/>
      <c r="K41" s="591"/>
      <c r="L41" s="603"/>
    </row>
    <row r="42" spans="1:14" s="583" customFormat="1" hidden="1" x14ac:dyDescent="0.2">
      <c r="A42" s="605"/>
      <c r="B42" s="588"/>
      <c r="C42" s="591"/>
      <c r="D42" s="591"/>
      <c r="E42" s="591"/>
      <c r="F42" s="591"/>
      <c r="G42" s="591"/>
      <c r="H42" s="591"/>
      <c r="I42" s="591"/>
      <c r="J42" s="591"/>
      <c r="K42" s="591"/>
      <c r="L42" s="603"/>
    </row>
    <row r="43" spans="1:14" s="583" customFormat="1" hidden="1" x14ac:dyDescent="0.2">
      <c r="A43" s="605"/>
      <c r="B43" s="588"/>
      <c r="C43" s="591"/>
      <c r="D43" s="591"/>
      <c r="E43" s="591"/>
      <c r="F43" s="591"/>
      <c r="G43" s="591"/>
      <c r="H43" s="591"/>
      <c r="I43" s="591"/>
      <c r="J43" s="591"/>
      <c r="K43" s="591"/>
      <c r="L43" s="603"/>
    </row>
    <row r="44" spans="1:14" s="583" customFormat="1" hidden="1" x14ac:dyDescent="0.2">
      <c r="A44" s="605"/>
      <c r="B44" s="588"/>
      <c r="C44" s="591"/>
      <c r="D44" s="591"/>
      <c r="E44" s="591"/>
      <c r="F44" s="591"/>
      <c r="G44" s="591"/>
      <c r="H44" s="591"/>
      <c r="I44" s="591"/>
      <c r="J44" s="591"/>
      <c r="K44" s="591"/>
      <c r="L44" s="603"/>
    </row>
    <row r="45" spans="1:14" s="583" customFormat="1" hidden="1" x14ac:dyDescent="0.2">
      <c r="A45" s="605"/>
      <c r="B45" s="588"/>
      <c r="C45" s="591"/>
      <c r="D45" s="591"/>
      <c r="E45" s="591"/>
      <c r="F45" s="591"/>
      <c r="G45" s="591"/>
      <c r="H45" s="591"/>
      <c r="I45" s="591"/>
      <c r="J45" s="591"/>
      <c r="K45" s="591"/>
      <c r="L45" s="606"/>
    </row>
    <row r="46" spans="1:14" s="583" customFormat="1" hidden="1" x14ac:dyDescent="0.2">
      <c r="A46" s="602"/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6"/>
    </row>
    <row r="47" spans="1:14" s="583" customFormat="1" ht="16.5" hidden="1" thickBot="1" x14ac:dyDescent="0.25">
      <c r="A47" s="598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603"/>
    </row>
    <row r="48" spans="1:14" s="583" customFormat="1" hidden="1" x14ac:dyDescent="0.2">
      <c r="A48" s="614"/>
      <c r="B48" s="613"/>
      <c r="C48" s="612"/>
      <c r="D48" s="612"/>
      <c r="E48" s="612"/>
      <c r="F48" s="612"/>
      <c r="G48" s="612"/>
      <c r="H48" s="612"/>
      <c r="I48" s="612"/>
      <c r="J48" s="612"/>
      <c r="K48" s="612"/>
      <c r="L48" s="584"/>
    </row>
    <row r="49" spans="1:12" s="589" customFormat="1" hidden="1" x14ac:dyDescent="0.2">
      <c r="A49" s="611"/>
      <c r="B49" s="610"/>
      <c r="C49" s="610"/>
      <c r="D49" s="610"/>
      <c r="E49" s="610"/>
      <c r="F49" s="610"/>
      <c r="G49" s="610"/>
      <c r="H49" s="610"/>
      <c r="I49" s="610"/>
      <c r="J49" s="610"/>
      <c r="K49" s="609"/>
      <c r="L49" s="608"/>
    </row>
    <row r="50" spans="1:12" s="583" customFormat="1" hidden="1" x14ac:dyDescent="0.2">
      <c r="A50" s="605"/>
      <c r="B50" s="588"/>
      <c r="C50" s="588"/>
      <c r="D50" s="588"/>
      <c r="E50" s="588"/>
      <c r="F50" s="588"/>
      <c r="G50" s="588"/>
      <c r="H50" s="588"/>
      <c r="I50" s="588"/>
      <c r="J50" s="588"/>
      <c r="K50" s="588"/>
      <c r="L50" s="603"/>
    </row>
    <row r="51" spans="1:12" s="583" customFormat="1" hidden="1" x14ac:dyDescent="0.2">
      <c r="A51" s="605"/>
      <c r="B51" s="588"/>
      <c r="C51" s="591"/>
      <c r="D51" s="591"/>
      <c r="E51" s="591"/>
      <c r="F51" s="591"/>
      <c r="G51" s="591"/>
      <c r="H51" s="591"/>
      <c r="I51" s="591"/>
      <c r="J51" s="591"/>
      <c r="K51" s="604"/>
      <c r="L51" s="603"/>
    </row>
    <row r="52" spans="1:12" s="583" customFormat="1" hidden="1" x14ac:dyDescent="0.2">
      <c r="A52" s="605"/>
      <c r="B52" s="588"/>
      <c r="C52" s="588"/>
      <c r="D52" s="588"/>
      <c r="E52" s="588"/>
      <c r="F52" s="588"/>
      <c r="G52" s="588"/>
      <c r="H52" s="588"/>
      <c r="I52" s="588"/>
      <c r="J52" s="588"/>
      <c r="K52" s="607"/>
      <c r="L52" s="603"/>
    </row>
    <row r="53" spans="1:12" s="583" customFormat="1" ht="14.25" hidden="1" customHeight="1" x14ac:dyDescent="0.2">
      <c r="A53" s="605"/>
      <c r="B53" s="588"/>
      <c r="C53" s="591"/>
      <c r="D53" s="591"/>
      <c r="E53" s="591"/>
      <c r="F53" s="591"/>
      <c r="G53" s="591"/>
      <c r="H53" s="591"/>
      <c r="I53" s="591"/>
      <c r="J53" s="591"/>
      <c r="K53" s="604"/>
      <c r="L53" s="606"/>
    </row>
    <row r="54" spans="1:12" s="583" customFormat="1" hidden="1" x14ac:dyDescent="0.2">
      <c r="A54" s="605"/>
      <c r="B54" s="588"/>
      <c r="C54" s="591"/>
      <c r="D54" s="591"/>
      <c r="E54" s="591"/>
      <c r="F54" s="591"/>
      <c r="G54" s="591"/>
      <c r="H54" s="591"/>
      <c r="I54" s="591"/>
      <c r="J54" s="591"/>
      <c r="K54" s="591"/>
      <c r="L54" s="603"/>
    </row>
    <row r="55" spans="1:12" s="583" customFormat="1" hidden="1" x14ac:dyDescent="0.2">
      <c r="A55" s="605"/>
      <c r="B55" s="588"/>
      <c r="C55" s="591"/>
      <c r="D55" s="591"/>
      <c r="E55" s="591"/>
      <c r="F55" s="591"/>
      <c r="G55" s="591"/>
      <c r="H55" s="591"/>
      <c r="I55" s="591"/>
      <c r="J55" s="591"/>
      <c r="K55" s="604"/>
      <c r="L55" s="603"/>
    </row>
    <row r="56" spans="1:12" s="583" customFormat="1" hidden="1" x14ac:dyDescent="0.2">
      <c r="A56" s="605"/>
      <c r="B56" s="588"/>
      <c r="C56" s="591"/>
      <c r="D56" s="591"/>
      <c r="E56" s="591"/>
      <c r="F56" s="591"/>
      <c r="G56" s="591"/>
      <c r="H56" s="591"/>
      <c r="I56" s="591"/>
      <c r="J56" s="591"/>
      <c r="K56" s="604"/>
      <c r="L56" s="603"/>
    </row>
    <row r="57" spans="1:12" s="583" customFormat="1" hidden="1" x14ac:dyDescent="0.2">
      <c r="A57" s="605"/>
      <c r="B57" s="588"/>
      <c r="C57" s="591"/>
      <c r="D57" s="591"/>
      <c r="E57" s="591"/>
      <c r="F57" s="591"/>
      <c r="G57" s="591"/>
      <c r="H57" s="591"/>
      <c r="I57" s="591"/>
      <c r="J57" s="591"/>
      <c r="K57" s="604"/>
      <c r="L57" s="603"/>
    </row>
    <row r="58" spans="1:12" s="583" customFormat="1" hidden="1" x14ac:dyDescent="0.2">
      <c r="A58" s="605"/>
      <c r="B58" s="588"/>
      <c r="C58" s="591"/>
      <c r="D58" s="591"/>
      <c r="E58" s="591"/>
      <c r="F58" s="591"/>
      <c r="G58" s="591"/>
      <c r="H58" s="591"/>
      <c r="I58" s="591"/>
      <c r="J58" s="591"/>
      <c r="K58" s="604"/>
      <c r="L58" s="603"/>
    </row>
    <row r="59" spans="1:12" s="583" customFormat="1" hidden="1" x14ac:dyDescent="0.2">
      <c r="A59" s="602"/>
      <c r="B59" s="601"/>
      <c r="C59" s="601"/>
      <c r="D59" s="601"/>
      <c r="E59" s="601"/>
      <c r="F59" s="601"/>
      <c r="G59" s="601"/>
      <c r="H59" s="601"/>
      <c r="I59" s="601"/>
      <c r="J59" s="601"/>
      <c r="K59" s="600"/>
      <c r="L59" s="599"/>
    </row>
    <row r="60" spans="1:12" s="583" customFormat="1" ht="16.5" hidden="1" thickBot="1" x14ac:dyDescent="0.25">
      <c r="A60" s="598"/>
      <c r="B60" s="597"/>
      <c r="C60" s="597"/>
      <c r="D60" s="597"/>
      <c r="E60" s="597"/>
      <c r="F60" s="597"/>
      <c r="G60" s="597"/>
      <c r="H60" s="597"/>
      <c r="I60" s="597"/>
      <c r="J60" s="597"/>
      <c r="K60" s="596"/>
      <c r="L60" s="595"/>
    </row>
    <row r="61" spans="1:12" hidden="1" x14ac:dyDescent="0.25">
      <c r="A61" s="594"/>
    </row>
    <row r="62" spans="1:12" s="583" customFormat="1" x14ac:dyDescent="0.2">
      <c r="A62" s="584" t="s">
        <v>625</v>
      </c>
      <c r="B62" s="588">
        <f t="shared" ref="B62:B71" si="10">C62+D62+E62+F62+G62+H62+I62+J62+K62</f>
        <v>75.109800000000007</v>
      </c>
      <c r="C62" s="588">
        <v>30.9</v>
      </c>
      <c r="D62" s="588">
        <v>7.7</v>
      </c>
      <c r="E62" s="588">
        <v>6</v>
      </c>
      <c r="F62" s="588">
        <v>6</v>
      </c>
      <c r="G62" s="588">
        <v>4.0999999999999996</v>
      </c>
      <c r="H62" s="588">
        <v>3.9</v>
      </c>
      <c r="I62" s="588">
        <v>6.8</v>
      </c>
      <c r="J62" s="588">
        <f>(21*(J5/5))/1000</f>
        <v>0.70979999999999999</v>
      </c>
      <c r="K62" s="588">
        <v>9</v>
      </c>
      <c r="L62" s="593"/>
    </row>
    <row r="63" spans="1:12" s="583" customFormat="1" ht="19.5" customHeight="1" x14ac:dyDescent="0.2">
      <c r="A63" s="584" t="s">
        <v>624</v>
      </c>
      <c r="B63" s="588">
        <f t="shared" si="10"/>
        <v>133.79999999999998</v>
      </c>
      <c r="C63" s="588">
        <f>(750*12)/1000</f>
        <v>9</v>
      </c>
      <c r="D63" s="588">
        <f t="shared" ref="D63:K63" si="11">(1300*12)/1000</f>
        <v>15.6</v>
      </c>
      <c r="E63" s="588">
        <f t="shared" si="11"/>
        <v>15.6</v>
      </c>
      <c r="F63" s="588">
        <f t="shared" si="11"/>
        <v>15.6</v>
      </c>
      <c r="G63" s="588">
        <f t="shared" si="11"/>
        <v>15.6</v>
      </c>
      <c r="H63" s="588">
        <f t="shared" si="11"/>
        <v>15.6</v>
      </c>
      <c r="I63" s="588">
        <f t="shared" si="11"/>
        <v>15.6</v>
      </c>
      <c r="J63" s="588">
        <f t="shared" si="11"/>
        <v>15.6</v>
      </c>
      <c r="K63" s="588">
        <f t="shared" si="11"/>
        <v>15.6</v>
      </c>
      <c r="L63" s="584"/>
    </row>
    <row r="64" spans="1:12" s="583" customFormat="1" x14ac:dyDescent="0.2">
      <c r="A64" s="584" t="s">
        <v>623</v>
      </c>
      <c r="B64" s="588">
        <f t="shared" si="10"/>
        <v>86.999999999999986</v>
      </c>
      <c r="C64" s="588">
        <v>10.199999999999999</v>
      </c>
      <c r="D64" s="588">
        <v>9.6</v>
      </c>
      <c r="E64" s="588">
        <v>9.6</v>
      </c>
      <c r="F64" s="588">
        <v>9.6</v>
      </c>
      <c r="G64" s="588">
        <v>9.6</v>
      </c>
      <c r="H64" s="588">
        <v>9.6</v>
      </c>
      <c r="I64" s="588">
        <v>9.6</v>
      </c>
      <c r="J64" s="588">
        <v>9.6</v>
      </c>
      <c r="K64" s="588">
        <v>9.6</v>
      </c>
      <c r="L64" s="593"/>
    </row>
    <row r="65" spans="1:12" s="582" customFormat="1" ht="31.5" x14ac:dyDescent="0.2">
      <c r="A65" s="584" t="s">
        <v>622</v>
      </c>
      <c r="B65" s="588">
        <f t="shared" si="10"/>
        <v>119.69999999999999</v>
      </c>
      <c r="C65" s="592">
        <v>13.3</v>
      </c>
      <c r="D65" s="592">
        <v>13.3</v>
      </c>
      <c r="E65" s="592">
        <v>13.3</v>
      </c>
      <c r="F65" s="592">
        <v>13.3</v>
      </c>
      <c r="G65" s="592">
        <v>13.3</v>
      </c>
      <c r="H65" s="592">
        <v>13.3</v>
      </c>
      <c r="I65" s="592">
        <v>13.3</v>
      </c>
      <c r="J65" s="592">
        <v>13.3</v>
      </c>
      <c r="K65" s="592">
        <v>13.3</v>
      </c>
      <c r="L65" s="545"/>
    </row>
    <row r="66" spans="1:12" s="582" customFormat="1" ht="11.25" hidden="1" customHeight="1" x14ac:dyDescent="0.2">
      <c r="A66" s="584" t="s">
        <v>621</v>
      </c>
      <c r="B66" s="588">
        <f t="shared" si="10"/>
        <v>9477</v>
      </c>
      <c r="C66" s="592">
        <v>3961</v>
      </c>
      <c r="D66" s="592">
        <v>883</v>
      </c>
      <c r="E66" s="592">
        <v>829</v>
      </c>
      <c r="F66" s="592">
        <v>710</v>
      </c>
      <c r="G66" s="592">
        <v>465</v>
      </c>
      <c r="H66" s="592">
        <v>513</v>
      </c>
      <c r="I66" s="592">
        <v>890</v>
      </c>
      <c r="J66" s="592">
        <v>100</v>
      </c>
      <c r="K66" s="592">
        <v>1126</v>
      </c>
      <c r="L66" s="545"/>
    </row>
    <row r="67" spans="1:12" s="583" customFormat="1" ht="17.25" customHeight="1" x14ac:dyDescent="0.2">
      <c r="A67" s="584" t="s">
        <v>620</v>
      </c>
      <c r="B67" s="588">
        <f t="shared" si="10"/>
        <v>706.4</v>
      </c>
      <c r="C67" s="588">
        <v>0</v>
      </c>
      <c r="D67" s="588">
        <v>84.5</v>
      </c>
      <c r="E67" s="588">
        <v>85.1</v>
      </c>
      <c r="F67" s="588">
        <v>39.6</v>
      </c>
      <c r="G67" s="588">
        <v>94.5</v>
      </c>
      <c r="H67" s="588">
        <v>93.5</v>
      </c>
      <c r="I67" s="588">
        <v>95</v>
      </c>
      <c r="J67" s="588">
        <v>121.8</v>
      </c>
      <c r="K67" s="588">
        <v>92.4</v>
      </c>
      <c r="L67" s="584" t="s">
        <v>619</v>
      </c>
    </row>
    <row r="68" spans="1:12" s="583" customFormat="1" hidden="1" x14ac:dyDescent="0.2">
      <c r="A68" s="584" t="s">
        <v>618</v>
      </c>
      <c r="B68" s="588">
        <f t="shared" si="10"/>
        <v>28700</v>
      </c>
      <c r="C68" s="588">
        <v>0</v>
      </c>
      <c r="D68" s="588">
        <v>200</v>
      </c>
      <c r="E68" s="588">
        <v>750</v>
      </c>
      <c r="F68" s="588">
        <v>750</v>
      </c>
      <c r="G68" s="588">
        <v>3000</v>
      </c>
      <c r="H68" s="588">
        <v>3000</v>
      </c>
      <c r="I68" s="588">
        <v>3000</v>
      </c>
      <c r="J68" s="588">
        <v>15000</v>
      </c>
      <c r="K68" s="588">
        <v>3000</v>
      </c>
      <c r="L68" s="584"/>
    </row>
    <row r="69" spans="1:12" s="589" customFormat="1" ht="31.5" x14ac:dyDescent="0.2">
      <c r="A69" s="590" t="s">
        <v>617</v>
      </c>
      <c r="B69" s="591">
        <f t="shared" si="10"/>
        <v>666.9</v>
      </c>
      <c r="C69" s="591">
        <v>120.9</v>
      </c>
      <c r="D69" s="591">
        <v>125</v>
      </c>
      <c r="E69" s="591">
        <v>110</v>
      </c>
      <c r="F69" s="591"/>
      <c r="G69" s="591">
        <v>60</v>
      </c>
      <c r="H69" s="591">
        <v>146</v>
      </c>
      <c r="I69" s="591">
        <v>0</v>
      </c>
      <c r="J69" s="591">
        <v>0</v>
      </c>
      <c r="K69" s="591">
        <v>105</v>
      </c>
      <c r="L69" s="590"/>
    </row>
    <row r="70" spans="1:12" s="583" customFormat="1" ht="31.5" x14ac:dyDescent="0.2">
      <c r="A70" s="584" t="s">
        <v>616</v>
      </c>
      <c r="B70" s="588">
        <f t="shared" si="10"/>
        <v>342.6</v>
      </c>
      <c r="C70" s="587">
        <v>92.9</v>
      </c>
      <c r="D70" s="587">
        <v>8.3000000000000007</v>
      </c>
      <c r="E70" s="587">
        <v>33.299999999999997</v>
      </c>
      <c r="F70" s="587">
        <v>35</v>
      </c>
      <c r="G70" s="587">
        <v>30.2</v>
      </c>
      <c r="H70" s="587">
        <v>69.2</v>
      </c>
      <c r="I70" s="587">
        <v>28.6</v>
      </c>
      <c r="J70" s="587">
        <v>0</v>
      </c>
      <c r="K70" s="587">
        <v>45.1</v>
      </c>
      <c r="L70" s="584"/>
    </row>
    <row r="71" spans="1:12" s="583" customFormat="1" ht="31.5" x14ac:dyDescent="0.2">
      <c r="A71" s="584" t="s">
        <v>615</v>
      </c>
      <c r="B71" s="588">
        <f t="shared" si="10"/>
        <v>127.69999999999999</v>
      </c>
      <c r="C71" s="587">
        <v>30.8</v>
      </c>
      <c r="D71" s="587">
        <v>12.8</v>
      </c>
      <c r="E71" s="587">
        <v>25</v>
      </c>
      <c r="F71" s="587">
        <v>20.5</v>
      </c>
      <c r="G71" s="587">
        <v>8.6</v>
      </c>
      <c r="H71" s="587">
        <v>10</v>
      </c>
      <c r="I71" s="587">
        <v>0</v>
      </c>
      <c r="J71" s="587">
        <v>0</v>
      </c>
      <c r="K71" s="587">
        <v>20</v>
      </c>
      <c r="L71" s="584"/>
    </row>
    <row r="72" spans="1:12" s="583" customFormat="1" ht="18" customHeight="1" x14ac:dyDescent="0.25">
      <c r="A72" s="586" t="s">
        <v>614</v>
      </c>
      <c r="B72" s="585">
        <f t="shared" ref="B72:K72" si="12">B20+B33+B62+B63+B64+B65+B69+B67+B70+B71</f>
        <v>13166.7351824</v>
      </c>
      <c r="C72" s="585">
        <f t="shared" si="12"/>
        <v>3362.9732192000001</v>
      </c>
      <c r="D72" s="585">
        <f t="shared" si="12"/>
        <v>1357.1558527999996</v>
      </c>
      <c r="E72" s="585">
        <f t="shared" si="12"/>
        <v>1378.2558527999995</v>
      </c>
      <c r="F72" s="585">
        <f t="shared" si="12"/>
        <v>1973.5638687999997</v>
      </c>
      <c r="G72" s="585">
        <f t="shared" si="12"/>
        <v>776.07792640000002</v>
      </c>
      <c r="H72" s="585">
        <f t="shared" si="12"/>
        <v>901.27792639999996</v>
      </c>
      <c r="I72" s="585">
        <f t="shared" si="12"/>
        <v>1249.2558527999995</v>
      </c>
      <c r="J72" s="585">
        <f t="shared" si="12"/>
        <v>777.47815600000001</v>
      </c>
      <c r="K72" s="585">
        <f t="shared" si="12"/>
        <v>1390.3558527999996</v>
      </c>
      <c r="L72" s="584"/>
    </row>
    <row r="73" spans="1:12" s="583" customFormat="1" ht="18" customHeight="1" x14ac:dyDescent="0.25">
      <c r="A73" s="586" t="s">
        <v>613</v>
      </c>
      <c r="B73" s="585">
        <v>13166.7</v>
      </c>
      <c r="C73" s="585">
        <v>3363</v>
      </c>
      <c r="D73" s="585">
        <v>1357.2</v>
      </c>
      <c r="E73" s="585">
        <v>1378.3</v>
      </c>
      <c r="F73" s="585">
        <v>1973.6</v>
      </c>
      <c r="G73" s="585">
        <v>776.1</v>
      </c>
      <c r="H73" s="585">
        <v>901.3</v>
      </c>
      <c r="I73" s="585">
        <v>1249.3</v>
      </c>
      <c r="J73" s="585">
        <v>777.5</v>
      </c>
      <c r="K73" s="585">
        <v>1390.4</v>
      </c>
      <c r="L73" s="584"/>
    </row>
    <row r="74" spans="1:12" s="583" customFormat="1" ht="18" customHeight="1" x14ac:dyDescent="0.25">
      <c r="A74" s="586" t="s">
        <v>612</v>
      </c>
      <c r="B74" s="585">
        <v>13166.7</v>
      </c>
      <c r="C74" s="585">
        <v>3363</v>
      </c>
      <c r="D74" s="585">
        <v>1357.2</v>
      </c>
      <c r="E74" s="585">
        <v>1378.3</v>
      </c>
      <c r="F74" s="585">
        <v>1973.6</v>
      </c>
      <c r="G74" s="585">
        <v>776.1</v>
      </c>
      <c r="H74" s="585">
        <v>901.3</v>
      </c>
      <c r="I74" s="585">
        <v>1249.3</v>
      </c>
      <c r="J74" s="585">
        <v>777.5</v>
      </c>
      <c r="K74" s="585">
        <v>1390.4</v>
      </c>
      <c r="L74" s="584"/>
    </row>
  </sheetData>
  <mergeCells count="2">
    <mergeCell ref="A2:K2"/>
    <mergeCell ref="A1:K1"/>
  </mergeCells>
  <pageMargins left="0.27559055118110237" right="0.27559055118110237" top="0.74803149606299213" bottom="0.74803149606299213" header="0.31496062992125984" footer="0.31496062992125984"/>
  <pageSetup paperSize="9" scale="5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8"/>
  <sheetViews>
    <sheetView zoomScaleNormal="100" workbookViewId="0">
      <selection activeCell="G6" sqref="G6"/>
    </sheetView>
  </sheetViews>
  <sheetFormatPr defaultRowHeight="15.75" x14ac:dyDescent="0.25"/>
  <cols>
    <col min="1" max="1" width="48" style="560" customWidth="1"/>
    <col min="2" max="2" width="9.5703125" style="561" hidden="1" customWidth="1"/>
    <col min="3" max="3" width="15" style="561" customWidth="1"/>
    <col min="4" max="4" width="12" style="561" customWidth="1"/>
    <col min="5" max="5" width="14.28515625" style="561" customWidth="1"/>
    <col min="6" max="6" width="12.28515625" style="561" customWidth="1"/>
    <col min="7" max="7" width="14.7109375" style="561" customWidth="1"/>
    <col min="8" max="8" width="12.28515625" style="561" customWidth="1"/>
    <col min="9" max="9" width="14" style="561" customWidth="1"/>
    <col min="10" max="10" width="13.7109375" style="561" customWidth="1"/>
    <col min="11" max="11" width="12" style="561" customWidth="1"/>
    <col min="12" max="12" width="16.140625" style="561" customWidth="1"/>
    <col min="13" max="13" width="29" style="560" hidden="1" customWidth="1"/>
    <col min="14" max="14" width="9.42578125" style="560" bestFit="1" customWidth="1"/>
    <col min="15" max="16384" width="9.140625" style="560"/>
  </cols>
  <sheetData>
    <row r="1" spans="1:14" ht="52.5" customHeight="1" x14ac:dyDescent="0.25">
      <c r="A1" s="800" t="s">
        <v>611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4" x14ac:dyDescent="0.25">
      <c r="L2" s="581" t="s">
        <v>609</v>
      </c>
    </row>
    <row r="3" spans="1:14" s="472" customFormat="1" ht="63" x14ac:dyDescent="0.2">
      <c r="A3" s="580" t="s">
        <v>0</v>
      </c>
      <c r="B3" s="580"/>
      <c r="C3" s="580" t="s">
        <v>608</v>
      </c>
      <c r="D3" s="580" t="s">
        <v>3</v>
      </c>
      <c r="E3" s="580" t="s">
        <v>58</v>
      </c>
      <c r="F3" s="580" t="s">
        <v>607</v>
      </c>
      <c r="G3" s="580" t="s">
        <v>60</v>
      </c>
      <c r="H3" s="580" t="s">
        <v>57</v>
      </c>
      <c r="I3" s="580" t="s">
        <v>606</v>
      </c>
      <c r="J3" s="580" t="s">
        <v>605</v>
      </c>
      <c r="K3" s="580" t="s">
        <v>604</v>
      </c>
      <c r="L3" s="580" t="s">
        <v>64</v>
      </c>
      <c r="M3" s="419" t="s">
        <v>603</v>
      </c>
    </row>
    <row r="4" spans="1:14" ht="29.25" customHeight="1" x14ac:dyDescent="0.25">
      <c r="A4" s="579" t="s">
        <v>602</v>
      </c>
      <c r="B4" s="578"/>
      <c r="C4" s="564">
        <f>SUM(D4:L4)</f>
        <v>10</v>
      </c>
      <c r="D4" s="564">
        <v>2</v>
      </c>
      <c r="E4" s="564">
        <v>1</v>
      </c>
      <c r="F4" s="564">
        <v>1</v>
      </c>
      <c r="G4" s="564">
        <v>1</v>
      </c>
      <c r="H4" s="564">
        <v>1</v>
      </c>
      <c r="I4" s="564">
        <v>1</v>
      </c>
      <c r="J4" s="564">
        <v>1</v>
      </c>
      <c r="K4" s="564">
        <v>1</v>
      </c>
      <c r="L4" s="564">
        <v>1</v>
      </c>
      <c r="M4" s="574"/>
    </row>
    <row r="5" spans="1:14" ht="49.5" customHeight="1" x14ac:dyDescent="0.25">
      <c r="A5" s="571" t="s">
        <v>601</v>
      </c>
      <c r="B5" s="565"/>
      <c r="C5" s="564">
        <v>0</v>
      </c>
      <c r="D5" s="577">
        <f>5.325</f>
        <v>5.3250000000000002</v>
      </c>
      <c r="E5" s="577">
        <f>5.325</f>
        <v>5.3250000000000002</v>
      </c>
      <c r="F5" s="577">
        <f>5.321</f>
        <v>5.3209999999999997</v>
      </c>
      <c r="G5" s="577">
        <f>5.51</f>
        <v>5.51</v>
      </c>
      <c r="H5" s="577">
        <f>5.196</f>
        <v>5.1959999999999997</v>
      </c>
      <c r="I5" s="577">
        <f>5.325</f>
        <v>5.3250000000000002</v>
      </c>
      <c r="J5" s="577">
        <f>5.322</f>
        <v>5.3220000000000001</v>
      </c>
      <c r="K5" s="577">
        <f>5.325</f>
        <v>5.3250000000000002</v>
      </c>
      <c r="L5" s="577">
        <f>5.319</f>
        <v>5.319</v>
      </c>
      <c r="M5" s="574"/>
    </row>
    <row r="6" spans="1:14" ht="60" customHeight="1" x14ac:dyDescent="0.25">
      <c r="A6" s="571" t="s">
        <v>600</v>
      </c>
      <c r="B6" s="565"/>
      <c r="C6" s="564">
        <v>0</v>
      </c>
      <c r="D6" s="577">
        <v>56.329000000000001</v>
      </c>
      <c r="E6" s="577">
        <v>59.901000000000003</v>
      </c>
      <c r="F6" s="577">
        <v>57.8</v>
      </c>
      <c r="G6" s="577">
        <v>56.463000000000001</v>
      </c>
      <c r="H6" s="577">
        <v>56</v>
      </c>
      <c r="I6" s="577">
        <v>55.737000000000002</v>
      </c>
      <c r="J6" s="577">
        <v>56</v>
      </c>
      <c r="K6" s="577">
        <v>54.279000000000003</v>
      </c>
      <c r="L6" s="577">
        <v>61.999000000000002</v>
      </c>
      <c r="M6" s="574"/>
    </row>
    <row r="7" spans="1:14" ht="69" customHeight="1" x14ac:dyDescent="0.25">
      <c r="A7" s="571" t="s">
        <v>599</v>
      </c>
      <c r="B7" s="565"/>
      <c r="C7" s="564">
        <v>0</v>
      </c>
      <c r="D7" s="577">
        <v>2.5</v>
      </c>
      <c r="E7" s="577">
        <v>2.5</v>
      </c>
      <c r="F7" s="577">
        <v>2.5</v>
      </c>
      <c r="G7" s="577">
        <v>2.7</v>
      </c>
      <c r="H7" s="577">
        <v>2.5</v>
      </c>
      <c r="I7" s="577">
        <v>2.5</v>
      </c>
      <c r="J7" s="577">
        <v>2.5</v>
      </c>
      <c r="K7" s="577">
        <v>2.5</v>
      </c>
      <c r="L7" s="577">
        <v>2.5</v>
      </c>
      <c r="M7" s="576">
        <v>1.1919999999999999</v>
      </c>
    </row>
    <row r="8" spans="1:14" ht="95.25" customHeight="1" x14ac:dyDescent="0.25">
      <c r="A8" s="571" t="s">
        <v>598</v>
      </c>
      <c r="B8" s="565"/>
      <c r="C8" s="564"/>
      <c r="D8" s="575">
        <v>0.27500000000000002</v>
      </c>
      <c r="E8" s="575">
        <v>0.27500000000000002</v>
      </c>
      <c r="F8" s="575">
        <v>0.27500000000000002</v>
      </c>
      <c r="G8" s="575">
        <v>0.27500000000000002</v>
      </c>
      <c r="H8" s="575">
        <v>0.27500000000000002</v>
      </c>
      <c r="I8" s="575">
        <v>0.27500000000000002</v>
      </c>
      <c r="J8" s="575">
        <v>0.27500000000000002</v>
      </c>
      <c r="K8" s="575">
        <v>0.27500000000000002</v>
      </c>
      <c r="L8" s="575">
        <v>0.27500000000000002</v>
      </c>
      <c r="M8" s="574"/>
    </row>
    <row r="9" spans="1:14" ht="48.75" customHeight="1" x14ac:dyDescent="0.25">
      <c r="A9" s="571" t="s">
        <v>597</v>
      </c>
      <c r="B9" s="565"/>
      <c r="C9" s="564">
        <f t="shared" ref="C9:C17" si="0">SUM(D9:L9)</f>
        <v>0</v>
      </c>
      <c r="D9" s="569"/>
      <c r="E9" s="569"/>
      <c r="F9" s="569"/>
      <c r="G9" s="569"/>
      <c r="H9" s="569"/>
      <c r="I9" s="569"/>
      <c r="J9" s="569"/>
      <c r="K9" s="569"/>
      <c r="L9" s="569"/>
      <c r="M9" s="572">
        <v>21.4</v>
      </c>
      <c r="N9" s="567"/>
    </row>
    <row r="10" spans="1:14" ht="34.5" customHeight="1" x14ac:dyDescent="0.25">
      <c r="A10" s="571" t="s">
        <v>596</v>
      </c>
      <c r="B10" s="565"/>
      <c r="C10" s="564">
        <f t="shared" si="0"/>
        <v>122</v>
      </c>
      <c r="D10" s="569">
        <v>26</v>
      </c>
      <c r="E10" s="569">
        <v>12</v>
      </c>
      <c r="F10" s="569">
        <v>12</v>
      </c>
      <c r="G10" s="569">
        <v>12</v>
      </c>
      <c r="H10" s="569">
        <v>12</v>
      </c>
      <c r="I10" s="569">
        <v>12</v>
      </c>
      <c r="J10" s="569">
        <v>12</v>
      </c>
      <c r="K10" s="569">
        <v>12</v>
      </c>
      <c r="L10" s="569">
        <v>12</v>
      </c>
      <c r="M10" s="573">
        <f>2.88*1.04</f>
        <v>2.9952000000000001</v>
      </c>
      <c r="N10" s="567"/>
    </row>
    <row r="11" spans="1:14" ht="63.75" customHeight="1" x14ac:dyDescent="0.25">
      <c r="A11" s="571" t="s">
        <v>595</v>
      </c>
      <c r="B11" s="565"/>
      <c r="C11" s="564">
        <f t="shared" si="0"/>
        <v>352.09999999999997</v>
      </c>
      <c r="D11" s="569">
        <v>57.3</v>
      </c>
      <c r="E11" s="569">
        <v>36.799999999999997</v>
      </c>
      <c r="F11" s="569">
        <v>36.9</v>
      </c>
      <c r="G11" s="569">
        <v>36.799999999999997</v>
      </c>
      <c r="H11" s="569">
        <v>36.799999999999997</v>
      </c>
      <c r="I11" s="569">
        <v>36.9</v>
      </c>
      <c r="J11" s="569">
        <v>36.799999999999997</v>
      </c>
      <c r="K11" s="569">
        <v>36.9</v>
      </c>
      <c r="L11" s="569">
        <v>36.9</v>
      </c>
      <c r="M11" s="570">
        <f>(350*12+200*12*15)/1000</f>
        <v>40.200000000000003</v>
      </c>
      <c r="N11" s="567"/>
    </row>
    <row r="12" spans="1:14" ht="33.75" customHeight="1" x14ac:dyDescent="0.25">
      <c r="A12" s="571" t="s">
        <v>594</v>
      </c>
      <c r="B12" s="565"/>
      <c r="C12" s="564">
        <f t="shared" si="0"/>
        <v>302.39999999999998</v>
      </c>
      <c r="D12" s="569">
        <v>112.6</v>
      </c>
      <c r="E12" s="569">
        <v>181.3</v>
      </c>
      <c r="F12" s="569">
        <v>0</v>
      </c>
      <c r="G12" s="569">
        <v>0</v>
      </c>
      <c r="H12" s="569">
        <v>5</v>
      </c>
      <c r="I12" s="569">
        <v>0</v>
      </c>
      <c r="J12" s="569">
        <v>0</v>
      </c>
      <c r="K12" s="569">
        <v>1</v>
      </c>
      <c r="L12" s="569">
        <v>2.5</v>
      </c>
      <c r="M12" s="572">
        <v>6.2</v>
      </c>
      <c r="N12" s="567"/>
    </row>
    <row r="13" spans="1:14" ht="47.25" customHeight="1" x14ac:dyDescent="0.25">
      <c r="A13" s="571" t="s">
        <v>593</v>
      </c>
      <c r="B13" s="565"/>
      <c r="C13" s="564">
        <f t="shared" si="0"/>
        <v>416.3</v>
      </c>
      <c r="D13" s="569">
        <v>177.5</v>
      </c>
      <c r="E13" s="569">
        <v>31</v>
      </c>
      <c r="F13" s="569">
        <v>31.8</v>
      </c>
      <c r="G13" s="569">
        <v>25.3</v>
      </c>
      <c r="H13" s="569">
        <v>20.8</v>
      </c>
      <c r="I13" s="569">
        <v>32.299999999999997</v>
      </c>
      <c r="J13" s="569">
        <v>27.5</v>
      </c>
      <c r="K13" s="569">
        <v>32.9</v>
      </c>
      <c r="L13" s="569">
        <v>37.200000000000003</v>
      </c>
      <c r="M13" s="570">
        <f>(6600+6000+2280+2500+160+900+600)/1000</f>
        <v>19.04</v>
      </c>
      <c r="N13" s="567"/>
    </row>
    <row r="14" spans="1:14" ht="64.5" customHeight="1" x14ac:dyDescent="0.25">
      <c r="A14" s="96" t="s">
        <v>592</v>
      </c>
      <c r="B14" s="565"/>
      <c r="C14" s="564">
        <f t="shared" si="0"/>
        <v>345.2</v>
      </c>
      <c r="D14" s="569">
        <v>70</v>
      </c>
      <c r="E14" s="569">
        <v>0</v>
      </c>
      <c r="F14" s="569">
        <v>45.2</v>
      </c>
      <c r="G14" s="569">
        <v>0</v>
      </c>
      <c r="H14" s="569">
        <v>80</v>
      </c>
      <c r="I14" s="569">
        <v>0</v>
      </c>
      <c r="J14" s="569">
        <v>60</v>
      </c>
      <c r="K14" s="569">
        <v>35</v>
      </c>
      <c r="L14" s="569">
        <v>55</v>
      </c>
      <c r="M14" s="568"/>
      <c r="N14" s="567"/>
    </row>
    <row r="15" spans="1:14" ht="25.5" customHeight="1" x14ac:dyDescent="0.25">
      <c r="A15" s="565" t="s">
        <v>591</v>
      </c>
      <c r="B15" s="565"/>
      <c r="C15" s="564">
        <f t="shared" si="0"/>
        <v>11314.2</v>
      </c>
      <c r="D15" s="563">
        <v>2355.5</v>
      </c>
      <c r="E15" s="563">
        <v>1277.8</v>
      </c>
      <c r="F15" s="563">
        <v>1106.2</v>
      </c>
      <c r="G15" s="563">
        <v>1145.0999999999999</v>
      </c>
      <c r="H15" s="563">
        <v>1082.0999999999999</v>
      </c>
      <c r="I15" s="563">
        <v>1027.3</v>
      </c>
      <c r="J15" s="563">
        <v>1086.3</v>
      </c>
      <c r="K15" s="563">
        <v>1039.0999999999999</v>
      </c>
      <c r="L15" s="563">
        <v>1194.8</v>
      </c>
      <c r="M15" s="568"/>
      <c r="N15" s="567"/>
    </row>
    <row r="16" spans="1:14" ht="24.75" customHeight="1" x14ac:dyDescent="0.25">
      <c r="A16" s="565" t="s">
        <v>590</v>
      </c>
      <c r="B16" s="565"/>
      <c r="C16" s="564">
        <f t="shared" si="0"/>
        <v>11314.2</v>
      </c>
      <c r="D16" s="563">
        <v>2355.5</v>
      </c>
      <c r="E16" s="563">
        <v>1277.8</v>
      </c>
      <c r="F16" s="563">
        <v>1106.2</v>
      </c>
      <c r="G16" s="563">
        <v>1145.0999999999999</v>
      </c>
      <c r="H16" s="563">
        <v>1082.0999999999999</v>
      </c>
      <c r="I16" s="563">
        <v>1027.3</v>
      </c>
      <c r="J16" s="563">
        <v>1086.3</v>
      </c>
      <c r="K16" s="563">
        <v>1039.0999999999999</v>
      </c>
      <c r="L16" s="563">
        <v>1194.8</v>
      </c>
      <c r="M16" s="566"/>
    </row>
    <row r="17" spans="1:12" ht="26.25" customHeight="1" x14ac:dyDescent="0.25">
      <c r="A17" s="565" t="s">
        <v>610</v>
      </c>
      <c r="B17" s="565"/>
      <c r="C17" s="564">
        <f t="shared" si="0"/>
        <v>11314.2</v>
      </c>
      <c r="D17" s="563">
        <v>2355.5</v>
      </c>
      <c r="E17" s="563">
        <v>1277.8</v>
      </c>
      <c r="F17" s="563">
        <v>1106.2</v>
      </c>
      <c r="G17" s="563">
        <v>1145.0999999999999</v>
      </c>
      <c r="H17" s="563">
        <v>1082.0999999999999</v>
      </c>
      <c r="I17" s="563">
        <v>1027.3</v>
      </c>
      <c r="J17" s="563">
        <v>1086.3</v>
      </c>
      <c r="K17" s="563">
        <v>1039.0999999999999</v>
      </c>
      <c r="L17" s="563">
        <v>1194.8</v>
      </c>
    </row>
    <row r="18" spans="1:12" x14ac:dyDescent="0.25">
      <c r="C18" s="562"/>
      <c r="D18" s="562"/>
      <c r="E18" s="562"/>
      <c r="F18" s="562"/>
      <c r="G18" s="562"/>
      <c r="H18" s="562"/>
      <c r="I18" s="562"/>
      <c r="J18" s="562"/>
      <c r="K18" s="562"/>
      <c r="L18" s="562"/>
    </row>
  </sheetData>
  <mergeCells count="1">
    <mergeCell ref="A1:M1"/>
  </mergeCells>
  <pageMargins left="0.36" right="0.33" top="0.75" bottom="0.49" header="0.3" footer="0.3"/>
  <pageSetup paperSize="9" scale="6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3"/>
  <sheetViews>
    <sheetView topLeftCell="A32" zoomScaleNormal="100" workbookViewId="0">
      <selection activeCell="A33" sqref="A33:T33"/>
    </sheetView>
  </sheetViews>
  <sheetFormatPr defaultRowHeight="12.75" x14ac:dyDescent="0.2"/>
  <cols>
    <col min="1" max="1" width="33.140625" customWidth="1"/>
    <col min="2" max="2" width="13.5703125" customWidth="1"/>
    <col min="3" max="4" width="9.140625" hidden="1" customWidth="1"/>
    <col min="5" max="5" width="1.5703125" hidden="1" customWidth="1"/>
    <col min="6" max="6" width="14" customWidth="1"/>
    <col min="7" max="7" width="16.7109375" customWidth="1"/>
    <col min="8" max="8" width="15.7109375" customWidth="1"/>
    <col min="9" max="9" width="15.85546875" customWidth="1"/>
    <col min="10" max="10" width="15.140625" customWidth="1"/>
    <col min="11" max="11" width="13.140625" customWidth="1"/>
    <col min="12" max="12" width="11.7109375" customWidth="1"/>
    <col min="13" max="13" width="12.7109375" customWidth="1"/>
    <col min="14" max="14" width="10.140625" customWidth="1"/>
    <col min="15" max="15" width="10.140625" hidden="1" customWidth="1"/>
    <col min="16" max="16" width="9.140625" hidden="1" customWidth="1"/>
    <col min="17" max="17" width="10.140625" customWidth="1"/>
    <col min="18" max="18" width="11" hidden="1" customWidth="1"/>
    <col min="19" max="19" width="9.140625" hidden="1" customWidth="1"/>
    <col min="20" max="20" width="11.28515625" customWidth="1"/>
  </cols>
  <sheetData>
    <row r="1" spans="1:10" ht="15.75" x14ac:dyDescent="0.25">
      <c r="A1" s="802" t="s">
        <v>49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17.75" customHeight="1" x14ac:dyDescent="0.2">
      <c r="A2" s="803" t="s">
        <v>711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15" customHeight="1" x14ac:dyDescent="0.25">
      <c r="A3" s="802"/>
      <c r="B3" s="802"/>
      <c r="C3" s="802"/>
      <c r="D3" s="802"/>
      <c r="E3" s="802"/>
      <c r="F3" s="802"/>
      <c r="G3" s="802"/>
      <c r="H3" s="802"/>
      <c r="I3" s="802"/>
      <c r="J3" s="802"/>
    </row>
    <row r="4" spans="1:10" ht="15" hidden="1" customHeight="1" x14ac:dyDescent="0.25">
      <c r="A4" s="655"/>
      <c r="B4" s="655"/>
      <c r="C4" s="655"/>
      <c r="D4" s="655"/>
      <c r="E4" s="655"/>
      <c r="F4" s="655"/>
      <c r="G4" s="655"/>
      <c r="H4" s="655"/>
      <c r="I4" s="655"/>
      <c r="J4" s="209"/>
    </row>
    <row r="5" spans="1:10" ht="15" hidden="1" customHeight="1" x14ac:dyDescent="0.25">
      <c r="A5" s="802"/>
      <c r="B5" s="802"/>
      <c r="C5" s="802"/>
      <c r="D5" s="802"/>
      <c r="E5" s="802"/>
      <c r="F5" s="802"/>
      <c r="G5" s="802"/>
      <c r="H5" s="802"/>
      <c r="I5" s="802"/>
      <c r="J5" s="209"/>
    </row>
    <row r="6" spans="1:10" ht="15" customHeight="1" x14ac:dyDescent="0.25">
      <c r="A6" s="655"/>
      <c r="B6" s="655"/>
      <c r="C6" s="655"/>
      <c r="D6" s="655"/>
      <c r="E6" s="655"/>
      <c r="F6" s="655"/>
      <c r="G6" s="655"/>
      <c r="H6" s="655"/>
      <c r="I6" s="655"/>
      <c r="J6" s="428" t="s">
        <v>665</v>
      </c>
    </row>
    <row r="7" spans="1:10" ht="25.5" customHeight="1" x14ac:dyDescent="0.2">
      <c r="A7" s="804"/>
      <c r="B7" s="804"/>
      <c r="C7" s="804"/>
      <c r="D7" s="804"/>
      <c r="E7" s="804"/>
      <c r="F7" s="804"/>
      <c r="G7" s="804"/>
      <c r="H7" s="804"/>
      <c r="I7" s="804"/>
      <c r="J7" s="804"/>
    </row>
    <row r="8" spans="1:10" ht="11.25" hidden="1" customHeight="1" x14ac:dyDescent="0.25">
      <c r="A8" s="805"/>
      <c r="B8" s="805"/>
      <c r="C8" s="805"/>
      <c r="D8" s="805"/>
      <c r="E8" s="805"/>
      <c r="F8" s="805"/>
      <c r="G8" s="805"/>
      <c r="H8" s="805"/>
      <c r="I8" s="805"/>
      <c r="J8" s="805"/>
    </row>
    <row r="9" spans="1:10" ht="11.25" hidden="1" customHeight="1" x14ac:dyDescent="0.25">
      <c r="A9" s="802"/>
      <c r="B9" s="802"/>
      <c r="C9" s="802"/>
      <c r="D9" s="802"/>
      <c r="E9" s="802"/>
      <c r="F9" s="802"/>
      <c r="G9" s="802"/>
      <c r="H9" s="802"/>
      <c r="I9" s="802"/>
      <c r="J9" s="209"/>
    </row>
    <row r="10" spans="1:10" ht="11.25" hidden="1" customHeight="1" x14ac:dyDescent="0.25">
      <c r="A10" s="802"/>
      <c r="B10" s="802"/>
      <c r="C10" s="802"/>
      <c r="D10" s="802"/>
      <c r="E10" s="802"/>
      <c r="F10" s="802"/>
      <c r="G10" s="802"/>
      <c r="H10" s="802"/>
      <c r="I10" s="802"/>
      <c r="J10" s="802"/>
    </row>
    <row r="11" spans="1:10" ht="15" hidden="1" customHeight="1" x14ac:dyDescent="0.25">
      <c r="A11" s="653"/>
      <c r="B11" s="653"/>
      <c r="C11" s="653"/>
      <c r="D11" s="653"/>
      <c r="E11" s="653"/>
      <c r="F11" s="653"/>
      <c r="G11" s="653"/>
      <c r="H11" s="653"/>
      <c r="I11" s="801"/>
      <c r="J11" s="801"/>
    </row>
    <row r="12" spans="1:10" ht="15.75" hidden="1" customHeight="1" x14ac:dyDescent="0.25">
      <c r="A12" s="806"/>
      <c r="B12" s="806"/>
      <c r="C12" s="654"/>
      <c r="D12" s="654"/>
      <c r="E12" s="654"/>
      <c r="F12" s="653"/>
      <c r="G12" s="653"/>
      <c r="H12" s="653"/>
      <c r="I12" s="428"/>
      <c r="J12" s="428"/>
    </row>
    <row r="13" spans="1:10" ht="7.5" hidden="1" customHeight="1" x14ac:dyDescent="0.25">
      <c r="A13" s="653"/>
      <c r="B13" s="653"/>
      <c r="C13" s="654"/>
      <c r="D13" s="654"/>
      <c r="E13" s="654"/>
      <c r="F13" s="653"/>
      <c r="G13" s="653"/>
      <c r="H13" s="653"/>
      <c r="I13" s="428"/>
      <c r="J13" s="428"/>
    </row>
    <row r="14" spans="1:10" ht="12.75" hidden="1" customHeight="1" x14ac:dyDescent="0.25">
      <c r="A14" s="653"/>
      <c r="B14" s="653"/>
      <c r="C14" s="654"/>
      <c r="D14" s="654"/>
      <c r="E14" s="654"/>
      <c r="F14" s="654"/>
      <c r="G14" s="654"/>
      <c r="H14" s="654"/>
      <c r="I14" s="801"/>
      <c r="J14" s="801"/>
    </row>
    <row r="15" spans="1:10" ht="12.75" hidden="1" customHeight="1" x14ac:dyDescent="0.25">
      <c r="A15" s="653"/>
      <c r="B15" s="653"/>
      <c r="C15" s="625"/>
      <c r="D15" s="625"/>
      <c r="E15" s="625"/>
      <c r="F15" s="653"/>
      <c r="G15" s="653"/>
      <c r="H15" s="653"/>
      <c r="I15" s="653"/>
      <c r="J15" s="209"/>
    </row>
    <row r="16" spans="1:10" ht="12.75" hidden="1" customHeight="1" x14ac:dyDescent="0.25">
      <c r="A16" s="653"/>
      <c r="B16" s="653"/>
      <c r="C16" s="625"/>
      <c r="D16" s="625"/>
      <c r="E16" s="625"/>
      <c r="F16" s="653"/>
      <c r="G16" s="653"/>
      <c r="H16" s="653"/>
      <c r="I16" s="653"/>
      <c r="J16" s="209"/>
    </row>
    <row r="17" spans="1:22" ht="15.75" hidden="1" x14ac:dyDescent="0.25">
      <c r="A17" s="653" t="s">
        <v>664</v>
      </c>
      <c r="B17" s="653"/>
      <c r="C17" s="654"/>
      <c r="D17" s="654"/>
      <c r="E17" s="654"/>
      <c r="F17" s="654"/>
      <c r="G17" s="654"/>
      <c r="H17" s="654"/>
      <c r="I17" s="653"/>
      <c r="J17" s="209"/>
    </row>
    <row r="18" spans="1:22" ht="15.75" hidden="1" x14ac:dyDescent="0.25">
      <c r="A18" s="730"/>
      <c r="B18" s="730"/>
      <c r="C18" s="730"/>
      <c r="D18" s="730"/>
      <c r="E18" s="730"/>
      <c r="F18" s="730"/>
      <c r="G18" s="730"/>
      <c r="H18" s="730"/>
      <c r="I18" s="730"/>
      <c r="J18" s="730"/>
    </row>
    <row r="19" spans="1:22" ht="15.75" hidden="1" customHeight="1" x14ac:dyDescent="0.25">
      <c r="A19" s="651"/>
      <c r="B19" s="428"/>
      <c r="C19" s="625"/>
      <c r="D19" s="625"/>
      <c r="E19" s="625"/>
      <c r="F19" s="209"/>
      <c r="G19" s="209"/>
      <c r="H19" s="209"/>
      <c r="I19" s="209"/>
      <c r="J19" s="209"/>
    </row>
    <row r="20" spans="1:22" ht="14.25" hidden="1" customHeight="1" x14ac:dyDescent="0.25">
      <c r="A20" s="638"/>
      <c r="B20" s="652"/>
      <c r="C20" s="625"/>
      <c r="D20" s="625"/>
      <c r="E20" s="625"/>
      <c r="F20" s="209"/>
      <c r="G20" s="209"/>
      <c r="H20" s="209"/>
      <c r="I20" s="209"/>
      <c r="J20" s="209"/>
    </row>
    <row r="21" spans="1:22" ht="15.75" hidden="1" customHeight="1" x14ac:dyDescent="0.25">
      <c r="A21" s="651"/>
      <c r="B21" s="650"/>
      <c r="C21" s="625"/>
      <c r="D21" s="625"/>
      <c r="E21" s="625"/>
      <c r="F21" s="209"/>
      <c r="G21" s="209"/>
      <c r="H21" s="209"/>
      <c r="I21" s="209"/>
      <c r="J21" s="209"/>
    </row>
    <row r="22" spans="1:22" ht="15.75" hidden="1" customHeight="1" x14ac:dyDescent="0.25">
      <c r="A22" s="651"/>
      <c r="B22" s="650"/>
      <c r="C22" s="625"/>
      <c r="D22" s="625"/>
      <c r="E22" s="625"/>
      <c r="F22" s="209"/>
      <c r="G22" s="209"/>
      <c r="H22" s="209"/>
      <c r="I22" s="209"/>
      <c r="J22" s="209"/>
    </row>
    <row r="23" spans="1:22" ht="52.5" customHeight="1" x14ac:dyDescent="0.2">
      <c r="A23" s="545" t="s">
        <v>663</v>
      </c>
      <c r="B23" s="649" t="s">
        <v>662</v>
      </c>
      <c r="C23" s="545"/>
      <c r="D23" s="545"/>
      <c r="E23" s="648"/>
      <c r="F23" s="545" t="s">
        <v>661</v>
      </c>
      <c r="G23" s="545" t="s">
        <v>660</v>
      </c>
      <c r="H23" s="543">
        <v>2019</v>
      </c>
      <c r="I23" s="543">
        <v>2020</v>
      </c>
      <c r="J23" s="543">
        <v>2021</v>
      </c>
      <c r="K23" s="647"/>
      <c r="U23" s="646"/>
      <c r="V23" s="646"/>
    </row>
    <row r="24" spans="1:22" ht="33.75" customHeight="1" x14ac:dyDescent="0.25">
      <c r="A24" s="807" t="s">
        <v>666</v>
      </c>
      <c r="B24" s="645" t="s">
        <v>659</v>
      </c>
      <c r="C24" s="423"/>
      <c r="D24" s="423"/>
      <c r="E24" s="643"/>
      <c r="F24" s="642" t="s">
        <v>241</v>
      </c>
      <c r="G24" s="641">
        <v>885200</v>
      </c>
      <c r="H24" s="641">
        <f>O43*1000</f>
        <v>1061300.0000000002</v>
      </c>
      <c r="I24" s="641">
        <f>1000*R43</f>
        <v>1061300.0000000002</v>
      </c>
      <c r="J24" s="812">
        <f>T43*1000</f>
        <v>1381800</v>
      </c>
      <c r="M24" s="639"/>
    </row>
    <row r="25" spans="1:22" ht="80.25" customHeight="1" x14ac:dyDescent="0.25">
      <c r="A25" s="807"/>
      <c r="B25" s="644" t="s">
        <v>658</v>
      </c>
      <c r="C25" s="423"/>
      <c r="D25" s="423"/>
      <c r="E25" s="643"/>
      <c r="F25" s="642" t="s">
        <v>242</v>
      </c>
      <c r="G25" s="641">
        <v>267100</v>
      </c>
      <c r="H25" s="641">
        <f>1000*P43</f>
        <v>320499.99999999994</v>
      </c>
      <c r="I25" s="641">
        <f>1000*S43</f>
        <v>320499.99999999994</v>
      </c>
      <c r="J25" s="813"/>
      <c r="M25" s="639"/>
    </row>
    <row r="26" spans="1:22" ht="15.75" x14ac:dyDescent="0.2">
      <c r="A26" s="807"/>
      <c r="B26" s="816" t="s">
        <v>286</v>
      </c>
      <c r="C26" s="816"/>
      <c r="D26" s="816"/>
      <c r="E26" s="816"/>
      <c r="F26" s="816"/>
      <c r="G26" s="640">
        <f>G25+G24</f>
        <v>1152300</v>
      </c>
      <c r="H26" s="640">
        <f>H25+H24</f>
        <v>1381800.0000000002</v>
      </c>
      <c r="I26" s="640">
        <f>I25+I24</f>
        <v>1381800.0000000002</v>
      </c>
      <c r="J26" s="640">
        <f>J25+J24</f>
        <v>1381800</v>
      </c>
      <c r="M26" s="639"/>
    </row>
    <row r="27" spans="1:22" ht="15.75" hidden="1" x14ac:dyDescent="0.25">
      <c r="A27" s="638"/>
      <c r="B27" s="637"/>
      <c r="C27" s="625"/>
      <c r="D27" s="625"/>
      <c r="E27" s="625"/>
      <c r="F27" s="209"/>
      <c r="G27" s="209"/>
      <c r="H27" s="209"/>
      <c r="I27" s="209"/>
      <c r="J27" s="636"/>
      <c r="O27" s="635"/>
    </row>
    <row r="28" spans="1:22" hidden="1" x14ac:dyDescent="0.2"/>
    <row r="29" spans="1:22" hidden="1" x14ac:dyDescent="0.2"/>
    <row r="30" spans="1:22" hidden="1" x14ac:dyDescent="0.2"/>
    <row r="31" spans="1:22" hidden="1" x14ac:dyDescent="0.2"/>
    <row r="32" spans="1:22" ht="28.5" customHeight="1" x14ac:dyDescent="0.25">
      <c r="A32" s="808" t="s">
        <v>53</v>
      </c>
      <c r="B32" s="808"/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</row>
    <row r="33" spans="1:20" ht="97.5" customHeight="1" x14ac:dyDescent="0.2">
      <c r="A33" s="791" t="s">
        <v>657</v>
      </c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</row>
    <row r="34" spans="1:20" ht="15" x14ac:dyDescent="0.25">
      <c r="A34" s="304"/>
      <c r="B34" s="304"/>
      <c r="C34" s="304"/>
      <c r="D34" s="304"/>
      <c r="E34" s="304"/>
      <c r="F34" s="304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1:20" ht="15" x14ac:dyDescent="0.25">
      <c r="A35" s="304"/>
      <c r="B35" s="304"/>
      <c r="C35" s="304"/>
      <c r="D35" s="304"/>
      <c r="E35" s="304"/>
      <c r="F35" s="304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:20" ht="15.75" x14ac:dyDescent="0.2">
      <c r="A36" s="809" t="s">
        <v>188</v>
      </c>
      <c r="B36" s="809" t="s">
        <v>32</v>
      </c>
      <c r="C36" s="809" t="s">
        <v>33</v>
      </c>
      <c r="D36" s="809" t="s">
        <v>34</v>
      </c>
      <c r="E36" s="809" t="s">
        <v>656</v>
      </c>
      <c r="F36" s="809" t="s">
        <v>36</v>
      </c>
      <c r="G36" s="809" t="s">
        <v>37</v>
      </c>
      <c r="H36" s="809" t="s">
        <v>38</v>
      </c>
      <c r="I36" s="809" t="s">
        <v>269</v>
      </c>
      <c r="J36" s="809" t="s">
        <v>655</v>
      </c>
      <c r="K36" s="809" t="s">
        <v>654</v>
      </c>
      <c r="L36" s="810" t="s">
        <v>5</v>
      </c>
      <c r="M36" s="810"/>
      <c r="N36" s="811" t="s">
        <v>267</v>
      </c>
      <c r="O36" s="814">
        <v>5201</v>
      </c>
      <c r="P36" s="814">
        <v>5204</v>
      </c>
      <c r="Q36" s="811" t="s">
        <v>275</v>
      </c>
      <c r="R36" s="814">
        <v>5201</v>
      </c>
      <c r="S36" s="814">
        <v>5204</v>
      </c>
      <c r="T36" s="811" t="s">
        <v>276</v>
      </c>
    </row>
    <row r="37" spans="1:20" ht="110.25" x14ac:dyDescent="0.2">
      <c r="A37" s="809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634" t="s">
        <v>653</v>
      </c>
      <c r="M37" s="634" t="s">
        <v>652</v>
      </c>
      <c r="N37" s="811"/>
      <c r="O37" s="815"/>
      <c r="P37" s="815"/>
      <c r="Q37" s="811"/>
      <c r="R37" s="815"/>
      <c r="S37" s="815"/>
      <c r="T37" s="811"/>
    </row>
    <row r="38" spans="1:20" ht="15.75" x14ac:dyDescent="0.25">
      <c r="A38" s="626">
        <v>1</v>
      </c>
      <c r="B38" s="626">
        <v>2</v>
      </c>
      <c r="C38" s="626">
        <v>3</v>
      </c>
      <c r="D38" s="626">
        <v>4</v>
      </c>
      <c r="E38" s="626">
        <v>5</v>
      </c>
      <c r="F38" s="626">
        <v>6</v>
      </c>
      <c r="G38" s="626">
        <v>7</v>
      </c>
      <c r="H38" s="626">
        <v>8</v>
      </c>
      <c r="I38" s="626">
        <v>9</v>
      </c>
      <c r="J38" s="626">
        <v>10</v>
      </c>
      <c r="K38" s="626">
        <v>11</v>
      </c>
      <c r="L38" s="626">
        <v>12</v>
      </c>
      <c r="M38" s="626">
        <v>13</v>
      </c>
      <c r="N38" s="626">
        <v>14</v>
      </c>
      <c r="O38" s="626"/>
      <c r="P38" s="626"/>
      <c r="Q38" s="626">
        <v>15</v>
      </c>
      <c r="R38" s="626"/>
      <c r="S38" s="626"/>
      <c r="T38" s="626">
        <v>16</v>
      </c>
    </row>
    <row r="39" spans="1:20" ht="15.75" x14ac:dyDescent="0.25">
      <c r="A39" s="633" t="s">
        <v>6</v>
      </c>
      <c r="B39" s="631">
        <v>5594</v>
      </c>
      <c r="C39" s="630">
        <f>B39*4.167</f>
        <v>23310.198</v>
      </c>
      <c r="D39" s="630">
        <f>(B39+C39)*1.5</f>
        <v>43356.296999999999</v>
      </c>
      <c r="E39" s="632">
        <v>1</v>
      </c>
      <c r="F39" s="630">
        <f>(B39+C39+D39)*E39</f>
        <v>72260.494999999995</v>
      </c>
      <c r="G39" s="630">
        <f>F39*12</f>
        <v>867125.94</v>
      </c>
      <c r="H39" s="630">
        <f>G39*0.302</f>
        <v>261872.03387999997</v>
      </c>
      <c r="I39" s="627">
        <f>G39+H39</f>
        <v>1128997.9738799999</v>
      </c>
      <c r="J39" s="631"/>
      <c r="K39" s="630">
        <f>SUM(L39:M39)</f>
        <v>183231</v>
      </c>
      <c r="L39" s="631">
        <v>23671</v>
      </c>
      <c r="M39" s="631">
        <v>159560</v>
      </c>
      <c r="N39" s="630">
        <f>ROUND((I39+J39+K39)/1000,1)</f>
        <v>1312.2</v>
      </c>
      <c r="O39" s="630">
        <f>N39-P39</f>
        <v>1007.8000000000001</v>
      </c>
      <c r="P39" s="630">
        <f>ROUND(N39*0.302/1.302,1)</f>
        <v>304.39999999999998</v>
      </c>
      <c r="Q39" s="630">
        <v>1312.2</v>
      </c>
      <c r="R39" s="630">
        <f>Q39-S39</f>
        <v>1007.8000000000001</v>
      </c>
      <c r="S39" s="630">
        <f>ROUND(Q39*0.302/1.302,1)</f>
        <v>304.39999999999998</v>
      </c>
      <c r="T39" s="630">
        <f>Q39</f>
        <v>1312.2</v>
      </c>
    </row>
    <row r="40" spans="1:20" ht="15.75" x14ac:dyDescent="0.25">
      <c r="A40" s="633" t="s">
        <v>58</v>
      </c>
      <c r="B40" s="631">
        <v>5594</v>
      </c>
      <c r="C40" s="630">
        <f>B40*4.167</f>
        <v>23310.198</v>
      </c>
      <c r="D40" s="630">
        <f>(B40+C40)*1.5</f>
        <v>43356.296999999999</v>
      </c>
      <c r="E40" s="632">
        <v>0.02</v>
      </c>
      <c r="F40" s="630">
        <f>(B40+C40+D40)*E40</f>
        <v>1445.2098999999998</v>
      </c>
      <c r="G40" s="630">
        <f>F40*12</f>
        <v>17342.518799999998</v>
      </c>
      <c r="H40" s="630">
        <f>G40*0.302</f>
        <v>5237.4406775999996</v>
      </c>
      <c r="I40" s="627">
        <f>G40+H40</f>
        <v>22579.959477599998</v>
      </c>
      <c r="J40" s="631"/>
      <c r="K40" s="630">
        <f>SUM(L40:M40)</f>
        <v>0</v>
      </c>
      <c r="L40" s="631"/>
      <c r="M40" s="631"/>
      <c r="N40" s="630">
        <f>ROUND((I40+J40+K40)/1000,1)</f>
        <v>22.6</v>
      </c>
      <c r="O40" s="630">
        <f>N40-P40</f>
        <v>17.400000000000002</v>
      </c>
      <c r="P40" s="630">
        <f>ROUND(N40*0.302/1.302,1)</f>
        <v>5.2</v>
      </c>
      <c r="Q40" s="630">
        <v>22.6</v>
      </c>
      <c r="R40" s="630">
        <f>Q40-S40</f>
        <v>17.400000000000002</v>
      </c>
      <c r="S40" s="630">
        <f>ROUND(Q40*0.302/1.302,1)</f>
        <v>5.2</v>
      </c>
      <c r="T40" s="630">
        <f>Q40</f>
        <v>22.6</v>
      </c>
    </row>
    <row r="41" spans="1:20" ht="28.5" customHeight="1" x14ac:dyDescent="0.25">
      <c r="A41" s="633" t="s">
        <v>60</v>
      </c>
      <c r="B41" s="631">
        <v>5594</v>
      </c>
      <c r="C41" s="630">
        <f>B41*4.167</f>
        <v>23310.198</v>
      </c>
      <c r="D41" s="630">
        <f>(B41+C41)*1.7</f>
        <v>49137.136599999998</v>
      </c>
      <c r="E41" s="632">
        <v>0.02</v>
      </c>
      <c r="F41" s="630">
        <f>(B41+C41+D41)*E41</f>
        <v>1560.8266920000001</v>
      </c>
      <c r="G41" s="630">
        <f>F41*12</f>
        <v>18729.920303999999</v>
      </c>
      <c r="H41" s="630">
        <f>G41*0.302</f>
        <v>5656.4359318079996</v>
      </c>
      <c r="I41" s="627">
        <f>G41+H41</f>
        <v>24386.356235807998</v>
      </c>
      <c r="J41" s="631"/>
      <c r="K41" s="630">
        <f>SUM(L41:M41)</f>
        <v>0</v>
      </c>
      <c r="L41" s="631"/>
      <c r="M41" s="631"/>
      <c r="N41" s="630">
        <f>ROUND((I41+J41+K41)/1000,1)</f>
        <v>24.4</v>
      </c>
      <c r="O41" s="630">
        <f>N41-P41</f>
        <v>18.7</v>
      </c>
      <c r="P41" s="630">
        <f>ROUND(N41*0.302/1.302,1)</f>
        <v>5.7</v>
      </c>
      <c r="Q41" s="630">
        <v>24.4</v>
      </c>
      <c r="R41" s="630">
        <f>Q41-S41</f>
        <v>18.7</v>
      </c>
      <c r="S41" s="630">
        <f>ROUND(Q41*0.302/1.302,1)</f>
        <v>5.7</v>
      </c>
      <c r="T41" s="630">
        <f>Q41</f>
        <v>24.4</v>
      </c>
    </row>
    <row r="42" spans="1:20" ht="15.75" x14ac:dyDescent="0.25">
      <c r="A42" s="633" t="s">
        <v>63</v>
      </c>
      <c r="B42" s="631">
        <v>5594</v>
      </c>
      <c r="C42" s="630">
        <f>B42*4.167</f>
        <v>23310.198</v>
      </c>
      <c r="D42" s="630">
        <f>(B42+C42)*1.5</f>
        <v>43356.296999999999</v>
      </c>
      <c r="E42" s="632">
        <v>0.02</v>
      </c>
      <c r="F42" s="630">
        <f>(B42+C42+D42)*E42</f>
        <v>1445.2098999999998</v>
      </c>
      <c r="G42" s="630">
        <f>F42*12</f>
        <v>17342.518799999998</v>
      </c>
      <c r="H42" s="630">
        <f>G42*0.302</f>
        <v>5237.4406775999996</v>
      </c>
      <c r="I42" s="627">
        <f>G42+H42</f>
        <v>22579.959477599998</v>
      </c>
      <c r="J42" s="631"/>
      <c r="K42" s="630">
        <f>SUM(L42:M42)</f>
        <v>0</v>
      </c>
      <c r="L42" s="631"/>
      <c r="M42" s="631"/>
      <c r="N42" s="630">
        <f>ROUND((I42+J42+K42)/1000,1)</f>
        <v>22.6</v>
      </c>
      <c r="O42" s="630">
        <f>N42-P42</f>
        <v>17.400000000000002</v>
      </c>
      <c r="P42" s="630">
        <f>ROUND(N42*0.302/1.302,1)</f>
        <v>5.2</v>
      </c>
      <c r="Q42" s="630">
        <v>22.6</v>
      </c>
      <c r="R42" s="630">
        <f>Q42-S42</f>
        <v>17.400000000000002</v>
      </c>
      <c r="S42" s="630">
        <f>ROUND(Q42*0.302/1.302,1)</f>
        <v>5.2</v>
      </c>
      <c r="T42" s="630">
        <f>Q42</f>
        <v>22.6</v>
      </c>
    </row>
    <row r="43" spans="1:20" ht="15.75" x14ac:dyDescent="0.25">
      <c r="A43" s="629" t="s">
        <v>17</v>
      </c>
      <c r="B43" s="627">
        <f>SUM(B39:B42)</f>
        <v>22376</v>
      </c>
      <c r="C43" s="627">
        <f>SUM(C39:C42)</f>
        <v>93240.792000000001</v>
      </c>
      <c r="D43" s="627">
        <f>SUM(D39:D42)</f>
        <v>179206.0276</v>
      </c>
      <c r="E43" s="628"/>
      <c r="F43" s="627">
        <f t="shared" ref="F43:T43" si="0">SUM(F39:F42)</f>
        <v>76711.741492000001</v>
      </c>
      <c r="G43" s="627">
        <f t="shared" si="0"/>
        <v>920540.8979039999</v>
      </c>
      <c r="H43" s="627">
        <f t="shared" si="0"/>
        <v>278003.35116700799</v>
      </c>
      <c r="I43" s="627">
        <f t="shared" si="0"/>
        <v>1198544.2490710078</v>
      </c>
      <c r="J43" s="627">
        <f t="shared" si="0"/>
        <v>0</v>
      </c>
      <c r="K43" s="627">
        <f t="shared" si="0"/>
        <v>183231</v>
      </c>
      <c r="L43" s="627">
        <f t="shared" si="0"/>
        <v>23671</v>
      </c>
      <c r="M43" s="627">
        <f t="shared" si="0"/>
        <v>159560</v>
      </c>
      <c r="N43" s="627">
        <f t="shared" si="0"/>
        <v>1381.8</v>
      </c>
      <c r="O43" s="627">
        <f t="shared" si="0"/>
        <v>1061.3000000000002</v>
      </c>
      <c r="P43" s="627">
        <f t="shared" si="0"/>
        <v>320.49999999999994</v>
      </c>
      <c r="Q43" s="627">
        <f t="shared" si="0"/>
        <v>1381.8</v>
      </c>
      <c r="R43" s="627">
        <f t="shared" si="0"/>
        <v>1061.3000000000002</v>
      </c>
      <c r="S43" s="627">
        <f t="shared" si="0"/>
        <v>320.49999999999994</v>
      </c>
      <c r="T43" s="627">
        <f t="shared" si="0"/>
        <v>1381.8</v>
      </c>
    </row>
  </sheetData>
  <mergeCells count="36">
    <mergeCell ref="R36:R37"/>
    <mergeCell ref="S36:S37"/>
    <mergeCell ref="G36:G37"/>
    <mergeCell ref="B26:F26"/>
    <mergeCell ref="N36:N37"/>
    <mergeCell ref="O36:O37"/>
    <mergeCell ref="P36:P37"/>
    <mergeCell ref="F36:F37"/>
    <mergeCell ref="Q36:Q37"/>
    <mergeCell ref="A18:J18"/>
    <mergeCell ref="A24:A26"/>
    <mergeCell ref="A32:T32"/>
    <mergeCell ref="A33:T33"/>
    <mergeCell ref="H36:H37"/>
    <mergeCell ref="I36:I37"/>
    <mergeCell ref="J36:J37"/>
    <mergeCell ref="K36:K37"/>
    <mergeCell ref="L36:M36"/>
    <mergeCell ref="A36:A37"/>
    <mergeCell ref="B36:B37"/>
    <mergeCell ref="C36:C37"/>
    <mergeCell ref="D36:D37"/>
    <mergeCell ref="E36:E37"/>
    <mergeCell ref="T36:T37"/>
    <mergeCell ref="J24:J25"/>
    <mergeCell ref="I14:J14"/>
    <mergeCell ref="A1:J1"/>
    <mergeCell ref="A2:J2"/>
    <mergeCell ref="A3:J3"/>
    <mergeCell ref="A5:I5"/>
    <mergeCell ref="A7:J7"/>
    <mergeCell ref="A8:J8"/>
    <mergeCell ref="A9:I9"/>
    <mergeCell ref="A10:J10"/>
    <mergeCell ref="I11:J11"/>
    <mergeCell ref="A12:B12"/>
  </mergeCells>
  <printOptions horizontalCentered="1" verticalCentered="1"/>
  <pageMargins left="0.7" right="0.7" top="0.75" bottom="0.75" header="0.3" footer="0.3"/>
  <pageSetup paperSize="9"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M11"/>
  <sheetViews>
    <sheetView zoomScaleNormal="100" workbookViewId="0">
      <selection activeCell="L13" sqref="L13"/>
    </sheetView>
  </sheetViews>
  <sheetFormatPr defaultRowHeight="15" x14ac:dyDescent="0.25"/>
  <cols>
    <col min="1" max="1" width="21.28515625" style="189" customWidth="1"/>
    <col min="2" max="2" width="12.85546875" style="189" customWidth="1"/>
    <col min="3" max="3" width="12" style="189" customWidth="1"/>
    <col min="4" max="4" width="11.42578125" style="189" customWidth="1"/>
    <col min="5" max="5" width="14.28515625" style="189" customWidth="1"/>
    <col min="6" max="6" width="15" style="189" customWidth="1"/>
    <col min="7" max="7" width="12.28515625" style="189" customWidth="1"/>
    <col min="8" max="8" width="12.7109375" style="189" customWidth="1"/>
    <col min="9" max="9" width="12" style="189" customWidth="1"/>
    <col min="10" max="16384" width="9.140625" style="160"/>
  </cols>
  <sheetData>
    <row r="1" spans="1:13" s="376" customFormat="1" ht="14.25" x14ac:dyDescent="0.2">
      <c r="A1" s="819" t="s">
        <v>53</v>
      </c>
      <c r="B1" s="819"/>
      <c r="C1" s="819"/>
      <c r="D1" s="819"/>
      <c r="E1" s="819"/>
      <c r="F1" s="819"/>
      <c r="G1" s="819"/>
      <c r="H1" s="819"/>
      <c r="I1" s="819"/>
    </row>
    <row r="2" spans="1:13" s="376" customFormat="1" ht="79.5" customHeight="1" x14ac:dyDescent="0.2">
      <c r="A2" s="820" t="s">
        <v>712</v>
      </c>
      <c r="B2" s="820"/>
      <c r="C2" s="820"/>
      <c r="D2" s="820"/>
      <c r="E2" s="820"/>
      <c r="F2" s="820"/>
      <c r="G2" s="820"/>
      <c r="H2" s="820"/>
      <c r="I2" s="820"/>
    </row>
    <row r="3" spans="1:13" x14ac:dyDescent="0.25">
      <c r="A3" s="237"/>
      <c r="B3" s="237"/>
      <c r="C3" s="237"/>
      <c r="D3" s="237"/>
      <c r="E3" s="237"/>
      <c r="F3" s="237"/>
      <c r="G3" s="237"/>
      <c r="H3" s="304"/>
      <c r="I3" s="304"/>
    </row>
    <row r="4" spans="1:13" hidden="1" x14ac:dyDescent="0.25">
      <c r="A4" s="817" t="s">
        <v>243</v>
      </c>
      <c r="B4" s="817"/>
      <c r="C4" s="817"/>
      <c r="D4" s="817"/>
      <c r="E4" s="817"/>
    </row>
    <row r="5" spans="1:13" s="161" customFormat="1" x14ac:dyDescent="0.25">
      <c r="A5" s="167"/>
      <c r="B5" s="240"/>
      <c r="C5" s="240"/>
      <c r="D5" s="240"/>
      <c r="E5" s="240"/>
      <c r="F5" s="189"/>
      <c r="G5" s="189"/>
      <c r="H5" s="189"/>
      <c r="I5" s="189"/>
    </row>
    <row r="6" spans="1:13" s="162" customFormat="1" x14ac:dyDescent="0.25">
      <c r="A6" s="818"/>
      <c r="B6" s="818"/>
      <c r="C6" s="818"/>
      <c r="D6" s="240"/>
      <c r="E6" s="240"/>
      <c r="F6" s="189"/>
      <c r="G6" s="189"/>
      <c r="H6" s="189"/>
      <c r="I6" s="189"/>
    </row>
    <row r="7" spans="1:13" s="162" customFormat="1" x14ac:dyDescent="0.25">
      <c r="A7" s="189"/>
      <c r="B7" s="241"/>
      <c r="C7" s="241"/>
      <c r="D7" s="241"/>
      <c r="E7" s="241"/>
      <c r="F7" s="189"/>
      <c r="G7" s="18"/>
      <c r="H7" s="18"/>
      <c r="I7" s="18" t="s">
        <v>15</v>
      </c>
    </row>
    <row r="8" spans="1:13" s="185" customFormat="1" ht="96" customHeight="1" x14ac:dyDescent="0.25">
      <c r="A8" s="111" t="s">
        <v>1</v>
      </c>
      <c r="B8" s="163" t="s">
        <v>260</v>
      </c>
      <c r="C8" s="163" t="s">
        <v>231</v>
      </c>
      <c r="D8" s="163" t="s">
        <v>261</v>
      </c>
      <c r="E8" s="163" t="s">
        <v>262</v>
      </c>
      <c r="F8" s="163" t="s">
        <v>396</v>
      </c>
      <c r="G8" s="163" t="s">
        <v>397</v>
      </c>
      <c r="H8" s="163" t="s">
        <v>398</v>
      </c>
      <c r="I8" s="163" t="s">
        <v>651</v>
      </c>
    </row>
    <row r="9" spans="1:13" s="185" customFormat="1" x14ac:dyDescent="0.2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7</v>
      </c>
      <c r="I9" s="64">
        <v>7</v>
      </c>
    </row>
    <row r="10" spans="1:13" s="185" customFormat="1" x14ac:dyDescent="0.25">
      <c r="A10" s="110" t="s">
        <v>6</v>
      </c>
      <c r="B10" s="694">
        <v>3.7792500000000002</v>
      </c>
      <c r="C10" s="158">
        <v>15</v>
      </c>
      <c r="D10" s="186">
        <v>30</v>
      </c>
      <c r="E10" s="187">
        <f>46.765+0.116</f>
        <v>46.881</v>
      </c>
      <c r="F10" s="159">
        <v>1.2</v>
      </c>
      <c r="G10" s="188">
        <f>B10*D10*E10*F10</f>
        <v>6378.300693000001</v>
      </c>
      <c r="H10" s="188">
        <v>6633.5</v>
      </c>
      <c r="I10" s="188">
        <f>H10</f>
        <v>6633.5</v>
      </c>
    </row>
    <row r="11" spans="1:13" s="189" customFormat="1" x14ac:dyDescent="0.25">
      <c r="A11" s="164" t="s">
        <v>4</v>
      </c>
      <c r="B11" s="165">
        <f>SUM(B10:B10)</f>
        <v>3.7792500000000002</v>
      </c>
      <c r="C11" s="166" t="s">
        <v>220</v>
      </c>
      <c r="D11" s="166" t="s">
        <v>220</v>
      </c>
      <c r="E11" s="166" t="s">
        <v>220</v>
      </c>
      <c r="F11" s="166" t="s">
        <v>220</v>
      </c>
      <c r="G11" s="190">
        <f>SUM(G10:G10)</f>
        <v>6378.300693000001</v>
      </c>
      <c r="H11" s="190">
        <f>SUM(H10:H10)</f>
        <v>6633.5</v>
      </c>
      <c r="I11" s="190">
        <f>SUM(I10:I10)</f>
        <v>6633.5</v>
      </c>
      <c r="L11" s="695"/>
      <c r="M11" s="695"/>
    </row>
  </sheetData>
  <mergeCells count="4">
    <mergeCell ref="A4:E4"/>
    <mergeCell ref="A6:C6"/>
    <mergeCell ref="A1:I1"/>
    <mergeCell ref="A2:I2"/>
  </mergeCells>
  <pageMargins left="0.32" right="0.28000000000000003" top="0.5" bottom="0.43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V35"/>
  <sheetViews>
    <sheetView view="pageBreakPreview" topLeftCell="A22" zoomScaleNormal="118" zoomScaleSheetLayoutView="100" workbookViewId="0">
      <selection activeCell="M40" sqref="M40"/>
    </sheetView>
  </sheetViews>
  <sheetFormatPr defaultRowHeight="12.75" x14ac:dyDescent="0.2"/>
  <cols>
    <col min="1" max="1" width="26.28515625" style="9" customWidth="1"/>
    <col min="2" max="2" width="9.85546875" style="9" customWidth="1"/>
    <col min="3" max="3" width="8.5703125" style="9" customWidth="1"/>
    <col min="4" max="4" width="8.7109375" style="9" customWidth="1"/>
    <col min="5" max="5" width="9" style="9" customWidth="1"/>
    <col min="6" max="6" width="9.140625" style="9" bestFit="1" customWidth="1"/>
    <col min="7" max="7" width="10.42578125" style="9" customWidth="1"/>
    <col min="8" max="8" width="17.140625" style="9" customWidth="1"/>
    <col min="9" max="9" width="12.85546875" style="9" bestFit="1" customWidth="1"/>
    <col min="10" max="10" width="12" style="9" bestFit="1" customWidth="1"/>
    <col min="11" max="11" width="9.140625" style="9" bestFit="1" customWidth="1"/>
    <col min="12" max="12" width="9" style="9" customWidth="1"/>
    <col min="13" max="13" width="9.140625" style="9" customWidth="1"/>
    <col min="14" max="14" width="9.28515625" style="9" customWidth="1"/>
    <col min="15" max="15" width="11.28515625" style="9" bestFit="1" customWidth="1"/>
    <col min="16" max="16" width="10" style="9" customWidth="1"/>
    <col min="17" max="17" width="17" style="9" customWidth="1"/>
    <col min="18" max="18" width="16" style="9" customWidth="1"/>
    <col min="19" max="19" width="28.7109375" style="9" customWidth="1"/>
    <col min="20" max="20" width="25.42578125" style="9" customWidth="1"/>
    <col min="21" max="16384" width="9.140625" style="9"/>
  </cols>
  <sheetData>
    <row r="1" spans="1:20" x14ac:dyDescent="0.2">
      <c r="A1" s="839" t="s">
        <v>51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0" ht="12.75" customHeight="1" x14ac:dyDescent="0.2">
      <c r="A2" s="840" t="s">
        <v>232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</row>
    <row r="3" spans="1:20" ht="26.25" customHeight="1" x14ac:dyDescent="0.2">
      <c r="A3" s="841" t="s">
        <v>713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</row>
    <row r="4" spans="1:20" ht="26.25" customHeight="1" x14ac:dyDescent="0.2">
      <c r="A4" s="842" t="s">
        <v>714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</row>
    <row r="5" spans="1:20" ht="7.5" customHeight="1" x14ac:dyDescent="0.2"/>
    <row r="6" spans="1:20" s="17" customFormat="1" ht="42" customHeight="1" x14ac:dyDescent="0.2">
      <c r="A6" s="17" t="s">
        <v>71</v>
      </c>
      <c r="Q6" s="49" t="s">
        <v>15</v>
      </c>
      <c r="R6" s="268"/>
      <c r="S6" s="843" t="s">
        <v>341</v>
      </c>
      <c r="T6" s="843"/>
    </row>
    <row r="7" spans="1:20" ht="72.75" customHeight="1" x14ac:dyDescent="0.2">
      <c r="A7" s="830" t="s">
        <v>188</v>
      </c>
      <c r="B7" s="831" t="s">
        <v>65</v>
      </c>
      <c r="C7" s="832"/>
      <c r="D7" s="831" t="s">
        <v>66</v>
      </c>
      <c r="E7" s="832"/>
      <c r="F7" s="833" t="s">
        <v>70</v>
      </c>
      <c r="G7" s="834"/>
      <c r="H7" s="833" t="s">
        <v>332</v>
      </c>
      <c r="I7" s="834"/>
      <c r="J7" s="833" t="s">
        <v>331</v>
      </c>
      <c r="K7" s="834"/>
      <c r="L7" s="825" t="s">
        <v>59</v>
      </c>
      <c r="M7" s="825" t="s">
        <v>307</v>
      </c>
      <c r="N7" s="825" t="s">
        <v>69</v>
      </c>
      <c r="O7" s="821" t="s">
        <v>334</v>
      </c>
      <c r="P7" s="821"/>
      <c r="Q7" s="821"/>
      <c r="R7" s="269"/>
      <c r="S7" s="822" t="s">
        <v>1</v>
      </c>
      <c r="T7" s="821" t="s">
        <v>338</v>
      </c>
    </row>
    <row r="8" spans="1:20" ht="36" x14ac:dyDescent="0.2">
      <c r="A8" s="830"/>
      <c r="B8" s="54" t="s">
        <v>67</v>
      </c>
      <c r="C8" s="54" t="s">
        <v>68</v>
      </c>
      <c r="D8" s="54" t="s">
        <v>67</v>
      </c>
      <c r="E8" s="54" t="s">
        <v>68</v>
      </c>
      <c r="F8" s="54" t="s">
        <v>67</v>
      </c>
      <c r="G8" s="54" t="s">
        <v>68</v>
      </c>
      <c r="H8" s="54" t="s">
        <v>67</v>
      </c>
      <c r="I8" s="54" t="s">
        <v>68</v>
      </c>
      <c r="J8" s="54" t="s">
        <v>67</v>
      </c>
      <c r="K8" s="54" t="s">
        <v>68</v>
      </c>
      <c r="L8" s="826"/>
      <c r="M8" s="826"/>
      <c r="N8" s="826"/>
      <c r="O8" s="54" t="s">
        <v>67</v>
      </c>
      <c r="P8" s="54" t="s">
        <v>68</v>
      </c>
      <c r="Q8" s="55" t="s">
        <v>4</v>
      </c>
      <c r="R8" s="269"/>
      <c r="S8" s="823"/>
      <c r="T8" s="821"/>
    </row>
    <row r="9" spans="1:20" s="272" customFormat="1" ht="12" x14ac:dyDescent="0.2">
      <c r="A9" s="270">
        <v>1</v>
      </c>
      <c r="B9" s="54">
        <v>2</v>
      </c>
      <c r="C9" s="54">
        <v>3</v>
      </c>
      <c r="D9" s="270">
        <v>4</v>
      </c>
      <c r="E9" s="54">
        <v>5</v>
      </c>
      <c r="F9" s="54">
        <v>6</v>
      </c>
      <c r="G9" s="270">
        <v>7</v>
      </c>
      <c r="H9" s="54">
        <v>8</v>
      </c>
      <c r="I9" s="54">
        <v>9</v>
      </c>
      <c r="J9" s="270">
        <v>10</v>
      </c>
      <c r="K9" s="54">
        <v>11</v>
      </c>
      <c r="L9" s="54">
        <v>12</v>
      </c>
      <c r="M9" s="270">
        <v>13</v>
      </c>
      <c r="N9" s="54">
        <v>14</v>
      </c>
      <c r="O9" s="54">
        <v>15</v>
      </c>
      <c r="P9" s="270">
        <v>16</v>
      </c>
      <c r="Q9" s="54">
        <v>17</v>
      </c>
      <c r="R9" s="271"/>
      <c r="S9" s="270">
        <v>1</v>
      </c>
      <c r="T9" s="261">
        <v>2</v>
      </c>
    </row>
    <row r="10" spans="1:20" ht="15" x14ac:dyDescent="0.25">
      <c r="A10" s="16" t="s">
        <v>3</v>
      </c>
      <c r="B10" s="58">
        <v>225.6</v>
      </c>
      <c r="C10" s="217">
        <v>263.2</v>
      </c>
      <c r="D10" s="217">
        <v>2.2999999999999998</v>
      </c>
      <c r="E10" s="59">
        <v>3.3</v>
      </c>
      <c r="F10" s="216">
        <v>14.2</v>
      </c>
      <c r="G10" s="216">
        <v>27.9</v>
      </c>
      <c r="H10" s="60">
        <v>547</v>
      </c>
      <c r="I10" s="60">
        <v>153</v>
      </c>
      <c r="J10" s="60">
        <v>664</v>
      </c>
      <c r="K10" s="60">
        <v>571</v>
      </c>
      <c r="L10" s="61">
        <v>15</v>
      </c>
      <c r="M10" s="218">
        <v>21</v>
      </c>
      <c r="N10" s="62">
        <v>112</v>
      </c>
      <c r="O10" s="62">
        <f>ROUND((((((H10*B10)+(H10*D10)+(H10*F10))*L10)+(H10*N10))+((((J10*B10)+(J10*D10)+(J10*F10))*M10)+(J10*N10)))/1000,1)</f>
        <v>5497.9</v>
      </c>
      <c r="P10" s="62">
        <f>ROUND((((((I10*C10)+(I10*E10)+(I10*G10))*L10)+(I10*N10))+((((K10*C10)+(K10*E10)+(K10*G10))*M10)+(K10*N10)))/1000,1)</f>
        <v>4286.8999999999996</v>
      </c>
      <c r="Q10" s="63">
        <f>O10+P10</f>
        <v>9784.7999999999993</v>
      </c>
      <c r="R10" s="265"/>
      <c r="S10" s="273" t="s">
        <v>3</v>
      </c>
      <c r="T10" s="62"/>
    </row>
    <row r="11" spans="1:20" ht="15" customHeight="1" x14ac:dyDescent="0.25">
      <c r="A11" s="16" t="s">
        <v>58</v>
      </c>
      <c r="B11" s="58">
        <v>225.6</v>
      </c>
      <c r="C11" s="246">
        <v>263.2</v>
      </c>
      <c r="D11" s="246">
        <v>2.2999999999999998</v>
      </c>
      <c r="E11" s="59">
        <v>3.3</v>
      </c>
      <c r="F11" s="245">
        <v>14.2</v>
      </c>
      <c r="G11" s="245">
        <v>27.9</v>
      </c>
      <c r="H11" s="60"/>
      <c r="I11" s="60">
        <v>24</v>
      </c>
      <c r="J11" s="60">
        <v>20</v>
      </c>
      <c r="K11" s="60">
        <v>197</v>
      </c>
      <c r="L11" s="61">
        <v>15</v>
      </c>
      <c r="M11" s="248">
        <v>21</v>
      </c>
      <c r="N11" s="62">
        <v>112</v>
      </c>
      <c r="O11" s="62">
        <f t="shared" ref="O11:O18" si="0">ROUND((((((H11*B11)+(H11*D11)+(H11*F11))*L11)+(H11*N11))+((((J11*B11)+(J11*D11)+(J11*F11))*M11)+(J11*N11)))/1000,1)</f>
        <v>103.9</v>
      </c>
      <c r="P11" s="62">
        <f t="shared" ref="P11:P18" si="1">ROUND((((((I11*C11)+(I11*E11)+(I11*G11))*L11)+(I11*N11))+((((K11*C11)+(K11*E11)+(K11*G11))*M11)+(K11*N11)))/1000,1)</f>
        <v>1348.7</v>
      </c>
      <c r="Q11" s="63">
        <f t="shared" ref="Q11:Q18" si="2">O11+P11</f>
        <v>1452.6000000000001</v>
      </c>
      <c r="R11" s="265"/>
      <c r="S11" s="273" t="s">
        <v>58</v>
      </c>
      <c r="T11" s="62">
        <v>150</v>
      </c>
    </row>
    <row r="12" spans="1:20" ht="15.75" customHeight="1" x14ac:dyDescent="0.25">
      <c r="A12" s="16" t="s">
        <v>55</v>
      </c>
      <c r="B12" s="58">
        <v>225.6</v>
      </c>
      <c r="C12" s="246">
        <v>263.2</v>
      </c>
      <c r="D12" s="246">
        <v>2.2999999999999998</v>
      </c>
      <c r="E12" s="59">
        <v>3.3</v>
      </c>
      <c r="F12" s="245">
        <v>14.2</v>
      </c>
      <c r="G12" s="245">
        <v>27.9</v>
      </c>
      <c r="H12" s="60"/>
      <c r="I12" s="60"/>
      <c r="J12" s="60"/>
      <c r="K12" s="60">
        <v>226</v>
      </c>
      <c r="L12" s="61">
        <v>15</v>
      </c>
      <c r="M12" s="248">
        <v>21</v>
      </c>
      <c r="N12" s="62">
        <v>112</v>
      </c>
      <c r="O12" s="62">
        <f t="shared" si="0"/>
        <v>0</v>
      </c>
      <c r="P12" s="62">
        <f t="shared" si="1"/>
        <v>1422.5</v>
      </c>
      <c r="Q12" s="63">
        <f t="shared" si="2"/>
        <v>1422.5</v>
      </c>
      <c r="R12" s="265"/>
      <c r="S12" s="273" t="s">
        <v>55</v>
      </c>
      <c r="T12" s="62"/>
    </row>
    <row r="13" spans="1:20" ht="24.75" customHeight="1" x14ac:dyDescent="0.25">
      <c r="A13" s="16" t="s">
        <v>60</v>
      </c>
      <c r="B13" s="58"/>
      <c r="C13" s="246"/>
      <c r="D13" s="246"/>
      <c r="E13" s="59"/>
      <c r="F13" s="245"/>
      <c r="G13" s="245"/>
      <c r="H13" s="60"/>
      <c r="I13" s="60"/>
      <c r="J13" s="60"/>
      <c r="K13" s="60"/>
      <c r="L13" s="61"/>
      <c r="M13" s="248"/>
      <c r="N13" s="62"/>
      <c r="O13" s="62"/>
      <c r="P13" s="62"/>
      <c r="Q13" s="63"/>
      <c r="R13" s="265"/>
      <c r="S13" s="273" t="s">
        <v>60</v>
      </c>
      <c r="T13" s="62">
        <v>150</v>
      </c>
    </row>
    <row r="14" spans="1:20" ht="24.75" customHeight="1" x14ac:dyDescent="0.25">
      <c r="A14" s="16" t="s">
        <v>57</v>
      </c>
      <c r="B14" s="58">
        <v>225.6</v>
      </c>
      <c r="C14" s="246">
        <v>263.2</v>
      </c>
      <c r="D14" s="246">
        <v>2.2999999999999998</v>
      </c>
      <c r="E14" s="59">
        <v>3.3</v>
      </c>
      <c r="F14" s="245">
        <v>14.2</v>
      </c>
      <c r="G14" s="245">
        <v>27.9</v>
      </c>
      <c r="H14" s="60"/>
      <c r="I14" s="60"/>
      <c r="J14" s="60">
        <v>146</v>
      </c>
      <c r="K14" s="60">
        <v>31</v>
      </c>
      <c r="L14" s="61">
        <v>15</v>
      </c>
      <c r="M14" s="248">
        <v>21</v>
      </c>
      <c r="N14" s="62">
        <v>112</v>
      </c>
      <c r="O14" s="62">
        <f t="shared" si="0"/>
        <v>758.6</v>
      </c>
      <c r="P14" s="62">
        <f t="shared" si="1"/>
        <v>195.1</v>
      </c>
      <c r="Q14" s="63">
        <f t="shared" si="2"/>
        <v>953.7</v>
      </c>
      <c r="R14" s="265"/>
      <c r="S14" s="273" t="s">
        <v>57</v>
      </c>
      <c r="T14" s="62">
        <v>150</v>
      </c>
    </row>
    <row r="15" spans="1:20" ht="15" customHeight="1" x14ac:dyDescent="0.25">
      <c r="A15" s="16" t="s">
        <v>61</v>
      </c>
      <c r="B15" s="58">
        <v>225.6</v>
      </c>
      <c r="C15" s="246">
        <v>263.2</v>
      </c>
      <c r="D15" s="246">
        <v>2.2999999999999998</v>
      </c>
      <c r="E15" s="59">
        <v>3.3</v>
      </c>
      <c r="F15" s="245">
        <v>14.2</v>
      </c>
      <c r="G15" s="245">
        <v>27.9</v>
      </c>
      <c r="H15" s="60"/>
      <c r="I15" s="60"/>
      <c r="J15" s="60">
        <v>82</v>
      </c>
      <c r="K15" s="60">
        <v>309</v>
      </c>
      <c r="L15" s="61">
        <v>15</v>
      </c>
      <c r="M15" s="248">
        <v>21</v>
      </c>
      <c r="N15" s="62">
        <v>112</v>
      </c>
      <c r="O15" s="62">
        <f t="shared" si="0"/>
        <v>426.1</v>
      </c>
      <c r="P15" s="62">
        <f t="shared" si="1"/>
        <v>1945</v>
      </c>
      <c r="Q15" s="63">
        <f t="shared" si="2"/>
        <v>2371.1</v>
      </c>
      <c r="R15" s="265"/>
      <c r="S15" s="273" t="s">
        <v>61</v>
      </c>
      <c r="T15" s="62"/>
    </row>
    <row r="16" spans="1:20" ht="14.25" customHeight="1" x14ac:dyDescent="0.25">
      <c r="A16" s="16" t="s">
        <v>62</v>
      </c>
      <c r="B16" s="58">
        <v>225.6</v>
      </c>
      <c r="C16" s="246">
        <v>263.2</v>
      </c>
      <c r="D16" s="246">
        <v>2.2999999999999998</v>
      </c>
      <c r="E16" s="59">
        <v>3.3</v>
      </c>
      <c r="F16" s="245">
        <v>14.2</v>
      </c>
      <c r="G16" s="245">
        <v>27.9</v>
      </c>
      <c r="H16" s="60"/>
      <c r="I16" s="60"/>
      <c r="J16" s="60">
        <v>60</v>
      </c>
      <c r="K16" s="60">
        <v>120</v>
      </c>
      <c r="L16" s="61">
        <v>15</v>
      </c>
      <c r="M16" s="248">
        <v>21</v>
      </c>
      <c r="N16" s="62">
        <v>112</v>
      </c>
      <c r="O16" s="62">
        <f t="shared" si="0"/>
        <v>311.8</v>
      </c>
      <c r="P16" s="62">
        <f t="shared" si="1"/>
        <v>755.3</v>
      </c>
      <c r="Q16" s="63">
        <f t="shared" si="2"/>
        <v>1067.0999999999999</v>
      </c>
      <c r="R16" s="265"/>
      <c r="S16" s="273" t="s">
        <v>62</v>
      </c>
      <c r="T16" s="62"/>
    </row>
    <row r="17" spans="1:22" ht="15" customHeight="1" x14ac:dyDescent="0.25">
      <c r="A17" s="16" t="s">
        <v>63</v>
      </c>
      <c r="B17" s="58">
        <v>225.6</v>
      </c>
      <c r="C17" s="246">
        <v>263.2</v>
      </c>
      <c r="D17" s="246">
        <v>2.2999999999999998</v>
      </c>
      <c r="E17" s="59">
        <v>3.3</v>
      </c>
      <c r="F17" s="245">
        <v>14.2</v>
      </c>
      <c r="G17" s="245">
        <v>27.9</v>
      </c>
      <c r="H17" s="60"/>
      <c r="I17" s="60"/>
      <c r="J17" s="60">
        <v>58</v>
      </c>
      <c r="K17" s="60">
        <v>142</v>
      </c>
      <c r="L17" s="61">
        <v>15</v>
      </c>
      <c r="M17" s="248">
        <v>21</v>
      </c>
      <c r="N17" s="62">
        <v>112</v>
      </c>
      <c r="O17" s="62">
        <f t="shared" si="0"/>
        <v>301.39999999999998</v>
      </c>
      <c r="P17" s="62">
        <f t="shared" si="1"/>
        <v>893.8</v>
      </c>
      <c r="Q17" s="63">
        <f t="shared" si="2"/>
        <v>1195.1999999999998</v>
      </c>
      <c r="R17" s="265"/>
      <c r="S17" s="273" t="s">
        <v>63</v>
      </c>
      <c r="T17" s="62"/>
    </row>
    <row r="18" spans="1:22" ht="15.75" customHeight="1" x14ac:dyDescent="0.25">
      <c r="A18" s="16" t="s">
        <v>64</v>
      </c>
      <c r="B18" s="58">
        <v>225.6</v>
      </c>
      <c r="C18" s="246">
        <v>263.2</v>
      </c>
      <c r="D18" s="246">
        <v>2.2999999999999998</v>
      </c>
      <c r="E18" s="59">
        <v>3.3</v>
      </c>
      <c r="F18" s="245">
        <v>14.2</v>
      </c>
      <c r="G18" s="245">
        <v>27.9</v>
      </c>
      <c r="H18" s="60">
        <v>20</v>
      </c>
      <c r="I18" s="60"/>
      <c r="J18" s="60">
        <v>70</v>
      </c>
      <c r="K18" s="60">
        <v>273</v>
      </c>
      <c r="L18" s="61">
        <v>15</v>
      </c>
      <c r="M18" s="248">
        <v>21</v>
      </c>
      <c r="N18" s="62">
        <v>112</v>
      </c>
      <c r="O18" s="62">
        <f t="shared" si="0"/>
        <v>438.6</v>
      </c>
      <c r="P18" s="62">
        <f t="shared" si="1"/>
        <v>1718.4</v>
      </c>
      <c r="Q18" s="63">
        <f t="shared" si="2"/>
        <v>2157</v>
      </c>
      <c r="R18" s="265"/>
      <c r="S18" s="273" t="s">
        <v>64</v>
      </c>
      <c r="T18" s="62"/>
    </row>
    <row r="19" spans="1:22" ht="17.25" customHeight="1" x14ac:dyDescent="0.25">
      <c r="A19" s="56" t="s">
        <v>4</v>
      </c>
      <c r="B19" s="58">
        <v>225.6</v>
      </c>
      <c r="C19" s="246">
        <v>263.2</v>
      </c>
      <c r="D19" s="246">
        <v>2.2999999999999998</v>
      </c>
      <c r="E19" s="59">
        <v>3.3</v>
      </c>
      <c r="F19" s="245">
        <v>14.2</v>
      </c>
      <c r="G19" s="245">
        <v>27.9</v>
      </c>
      <c r="H19" s="65">
        <f>SUM(H10:H18)</f>
        <v>567</v>
      </c>
      <c r="I19" s="65">
        <f>SUM(I10:I18)</f>
        <v>177</v>
      </c>
      <c r="J19" s="65">
        <f>SUM(J10:J18)</f>
        <v>1100</v>
      </c>
      <c r="K19" s="65">
        <f>SUM(K10:K18)</f>
        <v>1869</v>
      </c>
      <c r="L19" s="61">
        <v>15</v>
      </c>
      <c r="M19" s="248">
        <v>21</v>
      </c>
      <c r="N19" s="66">
        <v>112</v>
      </c>
      <c r="O19" s="251"/>
      <c r="P19" s="250"/>
      <c r="Q19" s="66">
        <f>SUM(Q10:Q18)</f>
        <v>20404</v>
      </c>
      <c r="R19" s="266"/>
      <c r="S19" s="57" t="s">
        <v>4</v>
      </c>
      <c r="T19" s="68">
        <f>SUM(T10:T18)</f>
        <v>450</v>
      </c>
    </row>
    <row r="21" spans="1:22" s="17" customFormat="1" ht="39" customHeight="1" x14ac:dyDescent="0.2">
      <c r="A21" s="828" t="s">
        <v>340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267"/>
      <c r="M21" s="824" t="s">
        <v>339</v>
      </c>
      <c r="N21" s="824"/>
      <c r="O21" s="824"/>
      <c r="P21" s="824"/>
      <c r="Q21" s="824"/>
      <c r="R21" s="824"/>
      <c r="S21" s="824"/>
    </row>
    <row r="22" spans="1:22" s="17" customFormat="1" ht="18.75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247"/>
      <c r="K22" s="247"/>
      <c r="L22" s="120"/>
      <c r="M22" s="120"/>
      <c r="N22" s="120"/>
      <c r="O22" s="120"/>
      <c r="P22" s="120"/>
      <c r="R22" s="121"/>
      <c r="S22" s="274"/>
    </row>
    <row r="23" spans="1:22" ht="150" customHeight="1" x14ac:dyDescent="0.2">
      <c r="A23" s="830" t="s">
        <v>1</v>
      </c>
      <c r="B23" s="830" t="s">
        <v>72</v>
      </c>
      <c r="C23" s="830"/>
      <c r="D23" s="821" t="s">
        <v>236</v>
      </c>
      <c r="E23" s="821"/>
      <c r="F23" s="825" t="s">
        <v>237</v>
      </c>
      <c r="G23" s="825" t="s">
        <v>335</v>
      </c>
      <c r="H23" s="825" t="s">
        <v>73</v>
      </c>
      <c r="I23" s="821" t="s">
        <v>337</v>
      </c>
      <c r="J23" s="821"/>
      <c r="K23" s="821"/>
      <c r="L23" s="51"/>
      <c r="M23" s="838" t="s">
        <v>1</v>
      </c>
      <c r="N23" s="838"/>
      <c r="O23" s="838"/>
      <c r="P23" s="838"/>
      <c r="Q23" s="825" t="s">
        <v>233</v>
      </c>
      <c r="R23" s="825" t="s">
        <v>234</v>
      </c>
      <c r="S23" s="821" t="s">
        <v>336</v>
      </c>
      <c r="T23" s="844"/>
      <c r="U23" s="51"/>
      <c r="V23" s="51"/>
    </row>
    <row r="24" spans="1:22" ht="25.5" customHeight="1" x14ac:dyDescent="0.2">
      <c r="A24" s="830"/>
      <c r="B24" s="830"/>
      <c r="C24" s="830"/>
      <c r="D24" s="821"/>
      <c r="E24" s="821"/>
      <c r="F24" s="826"/>
      <c r="G24" s="826"/>
      <c r="H24" s="826"/>
      <c r="I24" s="253" t="s">
        <v>180</v>
      </c>
      <c r="J24" s="253" t="s">
        <v>204</v>
      </c>
      <c r="K24" s="253" t="s">
        <v>333</v>
      </c>
      <c r="L24" s="257"/>
      <c r="M24" s="838"/>
      <c r="N24" s="838"/>
      <c r="O24" s="838"/>
      <c r="P24" s="838"/>
      <c r="Q24" s="826"/>
      <c r="R24" s="826"/>
      <c r="S24" s="821"/>
      <c r="T24" s="844"/>
      <c r="U24" s="51"/>
      <c r="V24" s="51"/>
    </row>
    <row r="25" spans="1:22" s="263" customFormat="1" ht="12" customHeight="1" x14ac:dyDescent="0.2">
      <c r="A25" s="260">
        <v>1</v>
      </c>
      <c r="B25" s="827">
        <v>2</v>
      </c>
      <c r="C25" s="827"/>
      <c r="D25" s="827">
        <v>3</v>
      </c>
      <c r="E25" s="827"/>
      <c r="F25" s="54">
        <v>4</v>
      </c>
      <c r="G25" s="54">
        <v>5</v>
      </c>
      <c r="H25" s="54">
        <v>6</v>
      </c>
      <c r="I25" s="827">
        <v>7</v>
      </c>
      <c r="J25" s="827"/>
      <c r="K25" s="827"/>
      <c r="L25" s="262"/>
      <c r="M25" s="837">
        <v>1</v>
      </c>
      <c r="N25" s="837"/>
      <c r="O25" s="837"/>
      <c r="P25" s="837"/>
      <c r="Q25" s="261">
        <v>2</v>
      </c>
      <c r="R25" s="261">
        <v>3</v>
      </c>
      <c r="S25" s="305">
        <v>4</v>
      </c>
      <c r="T25" s="264"/>
      <c r="U25" s="264"/>
      <c r="V25" s="264"/>
    </row>
    <row r="26" spans="1:22" ht="13.5" customHeight="1" x14ac:dyDescent="0.25">
      <c r="A26" s="249" t="s">
        <v>3</v>
      </c>
      <c r="B26" s="835">
        <v>226</v>
      </c>
      <c r="C26" s="835"/>
      <c r="D26" s="829">
        <f>41913.29*1.04</f>
        <v>43589.821600000003</v>
      </c>
      <c r="E26" s="829"/>
      <c r="F26" s="252">
        <f>D26*0.302</f>
        <v>13164.1261232</v>
      </c>
      <c r="G26" s="256">
        <v>0</v>
      </c>
      <c r="H26" s="254">
        <f>(D26+F26)*G26</f>
        <v>0</v>
      </c>
      <c r="I26" s="67">
        <f>ROUND((B26*(D26+F26-H26))/1000,1)</f>
        <v>12826.4</v>
      </c>
      <c r="J26" s="67">
        <f>I26*1.04</f>
        <v>13339.456</v>
      </c>
      <c r="K26" s="67">
        <f t="shared" ref="K26:K34" si="3">J26</f>
        <v>13339.456</v>
      </c>
      <c r="L26" s="258"/>
      <c r="M26" s="836" t="s">
        <v>3</v>
      </c>
      <c r="N26" s="836"/>
      <c r="O26" s="836"/>
      <c r="P26" s="836"/>
      <c r="Q26" s="62">
        <f>Q10+T10+I26</f>
        <v>22611.199999999997</v>
      </c>
      <c r="R26" s="62">
        <v>22611.199999999997</v>
      </c>
      <c r="S26" s="62">
        <v>22611.199999999997</v>
      </c>
      <c r="T26" s="845"/>
      <c r="U26" s="265"/>
      <c r="V26" s="265"/>
    </row>
    <row r="27" spans="1:22" ht="15.75" customHeight="1" x14ac:dyDescent="0.25">
      <c r="A27" s="249" t="s">
        <v>58</v>
      </c>
      <c r="B27" s="835">
        <v>59</v>
      </c>
      <c r="C27" s="835"/>
      <c r="D27" s="829">
        <f>41913.29*1.04</f>
        <v>43589.821600000003</v>
      </c>
      <c r="E27" s="829"/>
      <c r="F27" s="252">
        <f t="shared" ref="F27:F34" si="4">D27*0.302</f>
        <v>13164.1261232</v>
      </c>
      <c r="G27" s="256">
        <v>0.04</v>
      </c>
      <c r="H27" s="254">
        <f>(D27+F27)*G27</f>
        <v>2270.1579089280003</v>
      </c>
      <c r="I27" s="67">
        <f t="shared" ref="I27:I34" si="5">ROUND((B27*(D27+F27-H27))/1000,1)</f>
        <v>3214.5</v>
      </c>
      <c r="J27" s="67">
        <f t="shared" ref="J27:J34" si="6">I27*1.04</f>
        <v>3343.08</v>
      </c>
      <c r="K27" s="67">
        <f t="shared" si="3"/>
        <v>3343.08</v>
      </c>
      <c r="L27" s="258"/>
      <c r="M27" s="836" t="s">
        <v>58</v>
      </c>
      <c r="N27" s="836"/>
      <c r="O27" s="836"/>
      <c r="P27" s="836"/>
      <c r="Q27" s="62">
        <f t="shared" ref="Q27:Q34" si="7">Q11+T11+I27</f>
        <v>4817.1000000000004</v>
      </c>
      <c r="R27" s="62">
        <v>4817.1000000000004</v>
      </c>
      <c r="S27" s="62">
        <v>4817.1000000000004</v>
      </c>
      <c r="T27" s="845"/>
      <c r="U27" s="265"/>
      <c r="V27" s="265"/>
    </row>
    <row r="28" spans="1:22" ht="13.5" customHeight="1" x14ac:dyDescent="0.25">
      <c r="A28" s="249" t="s">
        <v>55</v>
      </c>
      <c r="B28" s="835">
        <v>34</v>
      </c>
      <c r="C28" s="835"/>
      <c r="D28" s="829">
        <f>41913.29*1.04</f>
        <v>43589.821600000003</v>
      </c>
      <c r="E28" s="829"/>
      <c r="F28" s="252">
        <f t="shared" si="4"/>
        <v>13164.1261232</v>
      </c>
      <c r="G28" s="256">
        <v>0.63600000000000001</v>
      </c>
      <c r="H28" s="254">
        <f t="shared" ref="H28:H34" si="8">(D28+F28)*G28</f>
        <v>36095.510751955204</v>
      </c>
      <c r="I28" s="67">
        <f t="shared" si="5"/>
        <v>702.4</v>
      </c>
      <c r="J28" s="67">
        <f t="shared" si="6"/>
        <v>730.49599999999998</v>
      </c>
      <c r="K28" s="67">
        <f t="shared" si="3"/>
        <v>730.49599999999998</v>
      </c>
      <c r="L28" s="258"/>
      <c r="M28" s="836" t="s">
        <v>55</v>
      </c>
      <c r="N28" s="836"/>
      <c r="O28" s="836"/>
      <c r="P28" s="836"/>
      <c r="Q28" s="62">
        <f t="shared" si="7"/>
        <v>2124.9</v>
      </c>
      <c r="R28" s="62">
        <v>2124.9</v>
      </c>
      <c r="S28" s="62">
        <v>2124.9</v>
      </c>
      <c r="T28" s="845"/>
      <c r="U28" s="265"/>
      <c r="V28" s="265"/>
    </row>
    <row r="29" spans="1:22" ht="25.5" customHeight="1" x14ac:dyDescent="0.25">
      <c r="A29" s="249" t="s">
        <v>60</v>
      </c>
      <c r="B29" s="835">
        <v>16</v>
      </c>
      <c r="C29" s="835"/>
      <c r="D29" s="829">
        <f>45266.35*1.04</f>
        <v>47077.004000000001</v>
      </c>
      <c r="E29" s="829"/>
      <c r="F29" s="252">
        <f t="shared" si="4"/>
        <v>14217.255208</v>
      </c>
      <c r="G29" s="256">
        <v>0.23200000000000001</v>
      </c>
      <c r="H29" s="254">
        <f>(D29+F29)*G29</f>
        <v>14220.268136256002</v>
      </c>
      <c r="I29" s="67">
        <f t="shared" si="5"/>
        <v>753.2</v>
      </c>
      <c r="J29" s="67">
        <f t="shared" si="6"/>
        <v>783.32800000000009</v>
      </c>
      <c r="K29" s="67">
        <f t="shared" si="3"/>
        <v>783.32800000000009</v>
      </c>
      <c r="L29" s="258"/>
      <c r="M29" s="836" t="s">
        <v>60</v>
      </c>
      <c r="N29" s="836"/>
      <c r="O29" s="836"/>
      <c r="P29" s="836"/>
      <c r="Q29" s="62">
        <f t="shared" si="7"/>
        <v>903.2</v>
      </c>
      <c r="R29" s="62">
        <v>903.2</v>
      </c>
      <c r="S29" s="62">
        <v>903.2</v>
      </c>
      <c r="T29" s="845"/>
      <c r="U29" s="265"/>
      <c r="V29" s="265"/>
    </row>
    <row r="30" spans="1:22" ht="26.25" customHeight="1" x14ac:dyDescent="0.25">
      <c r="A30" s="249" t="s">
        <v>57</v>
      </c>
      <c r="B30" s="835">
        <v>19</v>
      </c>
      <c r="C30" s="835"/>
      <c r="D30" s="829">
        <f>41913.29*1.04</f>
        <v>43589.821600000003</v>
      </c>
      <c r="E30" s="829"/>
      <c r="F30" s="252">
        <f t="shared" si="4"/>
        <v>13164.1261232</v>
      </c>
      <c r="G30" s="256">
        <v>0.71499999999999997</v>
      </c>
      <c r="H30" s="254">
        <f t="shared" si="8"/>
        <v>40579.072622088002</v>
      </c>
      <c r="I30" s="67">
        <f t="shared" si="5"/>
        <v>307.3</v>
      </c>
      <c r="J30" s="67">
        <f t="shared" si="6"/>
        <v>319.59200000000004</v>
      </c>
      <c r="K30" s="67">
        <f t="shared" si="3"/>
        <v>319.59200000000004</v>
      </c>
      <c r="L30" s="258"/>
      <c r="M30" s="836" t="s">
        <v>57</v>
      </c>
      <c r="N30" s="836"/>
      <c r="O30" s="836"/>
      <c r="P30" s="836"/>
      <c r="Q30" s="62">
        <f t="shared" si="7"/>
        <v>1411</v>
      </c>
      <c r="R30" s="62">
        <v>1411</v>
      </c>
      <c r="S30" s="62">
        <v>1411</v>
      </c>
      <c r="T30" s="845"/>
      <c r="U30" s="265"/>
      <c r="V30" s="265"/>
    </row>
    <row r="31" spans="1:22" ht="15" customHeight="1" x14ac:dyDescent="0.25">
      <c r="A31" s="249" t="s">
        <v>61</v>
      </c>
      <c r="B31" s="835">
        <v>40</v>
      </c>
      <c r="C31" s="835"/>
      <c r="D31" s="829">
        <f>41913.29*1.04</f>
        <v>43589.821600000003</v>
      </c>
      <c r="E31" s="829"/>
      <c r="F31" s="252">
        <f t="shared" si="4"/>
        <v>13164.1261232</v>
      </c>
      <c r="G31" s="256">
        <v>0.8</v>
      </c>
      <c r="H31" s="254">
        <f t="shared" si="8"/>
        <v>45403.158178560006</v>
      </c>
      <c r="I31" s="67">
        <f t="shared" si="5"/>
        <v>454</v>
      </c>
      <c r="J31" s="67">
        <f t="shared" si="6"/>
        <v>472.16</v>
      </c>
      <c r="K31" s="67">
        <f t="shared" si="3"/>
        <v>472.16</v>
      </c>
      <c r="L31" s="258"/>
      <c r="M31" s="836" t="s">
        <v>61</v>
      </c>
      <c r="N31" s="836"/>
      <c r="O31" s="836"/>
      <c r="P31" s="836"/>
      <c r="Q31" s="62">
        <f t="shared" si="7"/>
        <v>2825.1</v>
      </c>
      <c r="R31" s="62">
        <v>2825.1</v>
      </c>
      <c r="S31" s="62">
        <v>2825.1</v>
      </c>
      <c r="T31" s="845"/>
      <c r="U31" s="265"/>
      <c r="V31" s="265"/>
    </row>
    <row r="32" spans="1:22" ht="14.25" customHeight="1" x14ac:dyDescent="0.25">
      <c r="A32" s="249" t="s">
        <v>62</v>
      </c>
      <c r="B32" s="835">
        <v>33</v>
      </c>
      <c r="C32" s="835"/>
      <c r="D32" s="829">
        <f>41913.29*1.04</f>
        <v>43589.821600000003</v>
      </c>
      <c r="E32" s="829"/>
      <c r="F32" s="252">
        <f t="shared" si="4"/>
        <v>13164.1261232</v>
      </c>
      <c r="G32" s="256">
        <v>0.05</v>
      </c>
      <c r="H32" s="254">
        <f t="shared" si="8"/>
        <v>2837.6973861600004</v>
      </c>
      <c r="I32" s="67">
        <f t="shared" si="5"/>
        <v>1779.2</v>
      </c>
      <c r="J32" s="67">
        <f t="shared" si="6"/>
        <v>1850.3680000000002</v>
      </c>
      <c r="K32" s="67">
        <f t="shared" si="3"/>
        <v>1850.3680000000002</v>
      </c>
      <c r="L32" s="258"/>
      <c r="M32" s="836" t="s">
        <v>62</v>
      </c>
      <c r="N32" s="836"/>
      <c r="O32" s="836"/>
      <c r="P32" s="836"/>
      <c r="Q32" s="62">
        <f t="shared" si="7"/>
        <v>2846.3</v>
      </c>
      <c r="R32" s="62">
        <v>2846.3</v>
      </c>
      <c r="S32" s="62">
        <v>2846.3</v>
      </c>
      <c r="T32" s="845"/>
      <c r="U32" s="265"/>
      <c r="V32" s="265"/>
    </row>
    <row r="33" spans="1:22" ht="15" customHeight="1" x14ac:dyDescent="0.25">
      <c r="A33" s="249" t="s">
        <v>63</v>
      </c>
      <c r="B33" s="835">
        <v>21</v>
      </c>
      <c r="C33" s="835"/>
      <c r="D33" s="829">
        <f>41913.29*1.04</f>
        <v>43589.821600000003</v>
      </c>
      <c r="E33" s="829"/>
      <c r="F33" s="252">
        <f t="shared" si="4"/>
        <v>13164.1261232</v>
      </c>
      <c r="G33" s="256">
        <v>0.31</v>
      </c>
      <c r="H33" s="254">
        <f t="shared" si="8"/>
        <v>17593.723794192003</v>
      </c>
      <c r="I33" s="67">
        <f t="shared" si="5"/>
        <v>822.4</v>
      </c>
      <c r="J33" s="67">
        <f t="shared" si="6"/>
        <v>855.29600000000005</v>
      </c>
      <c r="K33" s="67">
        <f t="shared" si="3"/>
        <v>855.29600000000005</v>
      </c>
      <c r="L33" s="258"/>
      <c r="M33" s="836" t="s">
        <v>63</v>
      </c>
      <c r="N33" s="836"/>
      <c r="O33" s="836"/>
      <c r="P33" s="836"/>
      <c r="Q33" s="62">
        <f t="shared" si="7"/>
        <v>2017.6</v>
      </c>
      <c r="R33" s="62">
        <v>2017.6</v>
      </c>
      <c r="S33" s="62">
        <v>2017.6</v>
      </c>
      <c r="T33" s="845"/>
      <c r="U33" s="265"/>
      <c r="V33" s="265"/>
    </row>
    <row r="34" spans="1:22" ht="15.75" customHeight="1" x14ac:dyDescent="0.25">
      <c r="A34" s="249" t="s">
        <v>64</v>
      </c>
      <c r="B34" s="835">
        <v>48</v>
      </c>
      <c r="C34" s="835"/>
      <c r="D34" s="829">
        <f>41913.29*1.04</f>
        <v>43589.821600000003</v>
      </c>
      <c r="E34" s="829"/>
      <c r="F34" s="252">
        <f t="shared" si="4"/>
        <v>13164.1261232</v>
      </c>
      <c r="G34" s="256">
        <v>0.48699999999999999</v>
      </c>
      <c r="H34" s="254">
        <f t="shared" si="8"/>
        <v>27639.172541198401</v>
      </c>
      <c r="I34" s="67">
        <f t="shared" si="5"/>
        <v>1397.5</v>
      </c>
      <c r="J34" s="67">
        <f t="shared" si="6"/>
        <v>1453.4</v>
      </c>
      <c r="K34" s="67">
        <f t="shared" si="3"/>
        <v>1453.4</v>
      </c>
      <c r="L34" s="258"/>
      <c r="M34" s="836" t="s">
        <v>64</v>
      </c>
      <c r="N34" s="836"/>
      <c r="O34" s="836"/>
      <c r="P34" s="836"/>
      <c r="Q34" s="62">
        <f t="shared" si="7"/>
        <v>3554.5</v>
      </c>
      <c r="R34" s="62">
        <v>3554.5</v>
      </c>
      <c r="S34" s="62">
        <v>3554.5</v>
      </c>
      <c r="T34" s="845"/>
      <c r="U34" s="265"/>
      <c r="V34" s="265"/>
    </row>
    <row r="35" spans="1:22" s="50" customFormat="1" ht="21" customHeight="1" x14ac:dyDescent="0.25">
      <c r="A35" s="57" t="s">
        <v>4</v>
      </c>
      <c r="B35" s="846">
        <f>SUM(B26:C34)</f>
        <v>496</v>
      </c>
      <c r="C35" s="846"/>
      <c r="D35" s="846"/>
      <c r="E35" s="846"/>
      <c r="F35" s="250"/>
      <c r="G35" s="255"/>
      <c r="H35" s="255"/>
      <c r="I35" s="68">
        <f>SUM(I26:I34)</f>
        <v>22256.9</v>
      </c>
      <c r="J35" s="68">
        <f>SUM(J26:J34)</f>
        <v>23147.175999999999</v>
      </c>
      <c r="K35" s="68">
        <f>SUM(K26:K34)</f>
        <v>23147.175999999999</v>
      </c>
      <c r="L35" s="259"/>
      <c r="M35" s="847" t="s">
        <v>4</v>
      </c>
      <c r="N35" s="847"/>
      <c r="O35" s="847"/>
      <c r="P35" s="847"/>
      <c r="Q35" s="68">
        <f>SUM(Q26:Q34)</f>
        <v>43110.9</v>
      </c>
      <c r="R35" s="68">
        <f>SUM(R26:R34)</f>
        <v>43110.9</v>
      </c>
      <c r="S35" s="68">
        <f>SUM(S26:S34)</f>
        <v>43110.9</v>
      </c>
      <c r="T35" s="845"/>
      <c r="U35" s="259"/>
      <c r="V35" s="259"/>
    </row>
  </sheetData>
  <mergeCells count="66">
    <mergeCell ref="T23:T24"/>
    <mergeCell ref="T26:T35"/>
    <mergeCell ref="B33:C33"/>
    <mergeCell ref="B32:C32"/>
    <mergeCell ref="B31:C31"/>
    <mergeCell ref="B35:C35"/>
    <mergeCell ref="B34:C34"/>
    <mergeCell ref="D35:E35"/>
    <mergeCell ref="D34:E34"/>
    <mergeCell ref="D33:E33"/>
    <mergeCell ref="D32:E32"/>
    <mergeCell ref="D31:E31"/>
    <mergeCell ref="D26:E26"/>
    <mergeCell ref="M35:P35"/>
    <mergeCell ref="M34:P34"/>
    <mergeCell ref="M32:P32"/>
    <mergeCell ref="A1:T1"/>
    <mergeCell ref="A2:T2"/>
    <mergeCell ref="A3:T3"/>
    <mergeCell ref="A4:T4"/>
    <mergeCell ref="S6:T6"/>
    <mergeCell ref="M33:P33"/>
    <mergeCell ref="M27:P27"/>
    <mergeCell ref="H23:H24"/>
    <mergeCell ref="I23:K23"/>
    <mergeCell ref="B23:C24"/>
    <mergeCell ref="D29:E29"/>
    <mergeCell ref="D28:E28"/>
    <mergeCell ref="D27:E27"/>
    <mergeCell ref="D25:E25"/>
    <mergeCell ref="M25:P25"/>
    <mergeCell ref="M23:P24"/>
    <mergeCell ref="M31:P31"/>
    <mergeCell ref="M30:P30"/>
    <mergeCell ref="M29:P29"/>
    <mergeCell ref="M28:P28"/>
    <mergeCell ref="M26:P26"/>
    <mergeCell ref="A7:A8"/>
    <mergeCell ref="B30:C30"/>
    <mergeCell ref="B29:C29"/>
    <mergeCell ref="B28:C28"/>
    <mergeCell ref="B27:C27"/>
    <mergeCell ref="B26:C26"/>
    <mergeCell ref="B25:C25"/>
    <mergeCell ref="T7:T8"/>
    <mergeCell ref="I25:K25"/>
    <mergeCell ref="A21:K21"/>
    <mergeCell ref="D30:E30"/>
    <mergeCell ref="N7:N8"/>
    <mergeCell ref="A23:A24"/>
    <mergeCell ref="G23:G24"/>
    <mergeCell ref="D23:E24"/>
    <mergeCell ref="F23:F24"/>
    <mergeCell ref="D7:E7"/>
    <mergeCell ref="B7:C7"/>
    <mergeCell ref="F7:G7"/>
    <mergeCell ref="L7:L8"/>
    <mergeCell ref="M7:M8"/>
    <mergeCell ref="H7:I7"/>
    <mergeCell ref="J7:K7"/>
    <mergeCell ref="S23:S24"/>
    <mergeCell ref="S7:S8"/>
    <mergeCell ref="M21:S21"/>
    <mergeCell ref="R23:R24"/>
    <mergeCell ref="Q23:Q24"/>
    <mergeCell ref="O7:Q7"/>
  </mergeCells>
  <pageMargins left="0.31496062992125984" right="0.15748031496062992" top="0.57999999999999996" bottom="0.23622047244094491" header="0.23622047244094491" footer="0.19685039370078741"/>
  <pageSetup paperSize="9" scale="5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  <pageSetUpPr fitToPage="1"/>
  </sheetPr>
  <dimension ref="A1:I15"/>
  <sheetViews>
    <sheetView workbookViewId="0">
      <selection activeCell="E22" sqref="E22"/>
    </sheetView>
  </sheetViews>
  <sheetFormatPr defaultRowHeight="14.25" x14ac:dyDescent="0.2"/>
  <cols>
    <col min="1" max="1" width="34.42578125" style="11" customWidth="1"/>
    <col min="2" max="2" width="19.7109375" style="11" customWidth="1"/>
    <col min="3" max="3" width="19" style="11" customWidth="1"/>
    <col min="4" max="4" width="16.85546875" style="11" customWidth="1"/>
    <col min="5" max="5" width="18.140625" style="11" customWidth="1"/>
    <col min="6" max="6" width="15.42578125" style="11" customWidth="1"/>
    <col min="7" max="9" width="19.5703125" style="11" customWidth="1"/>
    <col min="10" max="16384" width="9.140625" style="11"/>
  </cols>
  <sheetData>
    <row r="1" spans="1:9" s="409" customFormat="1" ht="19.5" customHeight="1" x14ac:dyDescent="0.3">
      <c r="A1" s="850" t="s">
        <v>53</v>
      </c>
      <c r="B1" s="850"/>
      <c r="C1" s="850"/>
      <c r="D1" s="850"/>
      <c r="E1" s="850"/>
      <c r="F1" s="850"/>
      <c r="G1" s="850"/>
      <c r="H1" s="850"/>
      <c r="I1" s="850"/>
    </row>
    <row r="2" spans="1:9" s="410" customFormat="1" ht="39.75" customHeight="1" x14ac:dyDescent="0.25">
      <c r="A2" s="849" t="s">
        <v>715</v>
      </c>
      <c r="B2" s="849"/>
      <c r="C2" s="849"/>
      <c r="D2" s="849"/>
      <c r="E2" s="849"/>
      <c r="F2" s="849"/>
      <c r="G2" s="849"/>
      <c r="H2" s="849"/>
      <c r="I2" s="849"/>
    </row>
    <row r="3" spans="1:9" s="13" customFormat="1" ht="23.25" customHeight="1" x14ac:dyDescent="0.2">
      <c r="A3" s="848"/>
      <c r="B3" s="848"/>
      <c r="C3" s="848"/>
      <c r="D3" s="848"/>
      <c r="E3" s="848"/>
      <c r="F3" s="848"/>
      <c r="G3" s="848"/>
    </row>
    <row r="4" spans="1:9" ht="15" x14ac:dyDescent="0.25">
      <c r="D4" s="12"/>
      <c r="G4" s="14"/>
      <c r="H4" s="14"/>
      <c r="I4" s="14" t="s">
        <v>15</v>
      </c>
    </row>
    <row r="5" spans="1:9" s="13" customFormat="1" ht="129" customHeight="1" x14ac:dyDescent="0.2">
      <c r="A5" s="38" t="s">
        <v>1</v>
      </c>
      <c r="B5" s="39" t="s">
        <v>74</v>
      </c>
      <c r="C5" s="39" t="s">
        <v>75</v>
      </c>
      <c r="D5" s="39" t="s">
        <v>183</v>
      </c>
      <c r="E5" s="39" t="s">
        <v>133</v>
      </c>
      <c r="F5" s="25" t="s">
        <v>132</v>
      </c>
      <c r="G5" s="43" t="s">
        <v>184</v>
      </c>
      <c r="H5" s="43" t="s">
        <v>203</v>
      </c>
      <c r="I5" s="43" t="s">
        <v>306</v>
      </c>
    </row>
    <row r="6" spans="1:9" s="13" customFormat="1" ht="15.75" x14ac:dyDescent="0.25">
      <c r="A6" s="26" t="s">
        <v>6</v>
      </c>
      <c r="B6" s="242"/>
      <c r="C6" s="242"/>
      <c r="D6" s="243"/>
      <c r="E6" s="242"/>
      <c r="F6" s="243"/>
      <c r="G6" s="243"/>
      <c r="H6" s="243"/>
      <c r="I6" s="243"/>
    </row>
    <row r="7" spans="1:9" s="13" customFormat="1" ht="15.75" x14ac:dyDescent="0.25">
      <c r="A7" s="40" t="s">
        <v>58</v>
      </c>
      <c r="B7" s="242"/>
      <c r="C7" s="242"/>
      <c r="D7" s="243"/>
      <c r="E7" s="243"/>
      <c r="F7" s="243"/>
      <c r="G7" s="243"/>
      <c r="H7" s="243"/>
      <c r="I7" s="41">
        <v>1636.4</v>
      </c>
    </row>
    <row r="8" spans="1:9" s="13" customFormat="1" ht="15.75" x14ac:dyDescent="0.25">
      <c r="A8" s="40" t="s">
        <v>55</v>
      </c>
      <c r="B8" s="242"/>
      <c r="C8" s="242"/>
      <c r="D8" s="243"/>
      <c r="E8" s="243"/>
      <c r="F8" s="243"/>
      <c r="G8" s="243"/>
      <c r="H8" s="243">
        <v>1636.4</v>
      </c>
      <c r="I8" s="243"/>
    </row>
    <row r="9" spans="1:9" s="13" customFormat="1" ht="15.75" x14ac:dyDescent="0.25">
      <c r="A9" s="40" t="s">
        <v>60</v>
      </c>
      <c r="B9" s="242"/>
      <c r="C9" s="242"/>
      <c r="D9" s="243"/>
      <c r="E9" s="243"/>
      <c r="F9" s="243"/>
      <c r="G9" s="243"/>
      <c r="H9" s="243"/>
      <c r="I9" s="243"/>
    </row>
    <row r="10" spans="1:9" s="13" customFormat="1" ht="15.75" x14ac:dyDescent="0.25">
      <c r="A10" s="40" t="s">
        <v>57</v>
      </c>
      <c r="B10" s="242"/>
      <c r="C10" s="242"/>
      <c r="D10" s="243"/>
      <c r="E10" s="243"/>
      <c r="F10" s="243"/>
      <c r="G10" s="243"/>
      <c r="H10" s="243"/>
      <c r="I10" s="243"/>
    </row>
    <row r="11" spans="1:9" s="13" customFormat="1" ht="15.75" x14ac:dyDescent="0.25">
      <c r="A11" s="40" t="s">
        <v>61</v>
      </c>
      <c r="B11" s="242">
        <v>1636.4</v>
      </c>
      <c r="C11" s="242">
        <v>2015</v>
      </c>
      <c r="D11" s="243">
        <f>C11-B11</f>
        <v>378.59999999999991</v>
      </c>
      <c r="E11" s="242">
        <v>2015</v>
      </c>
      <c r="F11" s="243">
        <f>E11-B11</f>
        <v>378.59999999999991</v>
      </c>
      <c r="G11" s="243">
        <v>1636.4</v>
      </c>
      <c r="H11" s="243"/>
      <c r="I11" s="243"/>
    </row>
    <row r="12" spans="1:9" s="13" customFormat="1" ht="15.75" x14ac:dyDescent="0.25">
      <c r="A12" s="40" t="s">
        <v>62</v>
      </c>
      <c r="B12" s="242"/>
      <c r="C12" s="242"/>
      <c r="D12" s="243"/>
      <c r="E12" s="243"/>
      <c r="F12" s="243"/>
      <c r="G12" s="243"/>
      <c r="H12" s="243"/>
      <c r="I12" s="243"/>
    </row>
    <row r="13" spans="1:9" s="13" customFormat="1" ht="15.75" x14ac:dyDescent="0.25">
      <c r="A13" s="40" t="s">
        <v>63</v>
      </c>
      <c r="B13" s="242"/>
      <c r="C13" s="242"/>
      <c r="D13" s="243"/>
      <c r="E13" s="243"/>
      <c r="F13" s="243"/>
      <c r="G13" s="243"/>
      <c r="H13" s="243"/>
      <c r="I13" s="243"/>
    </row>
    <row r="14" spans="1:9" s="13" customFormat="1" ht="15.75" x14ac:dyDescent="0.25">
      <c r="A14" s="40" t="s">
        <v>64</v>
      </c>
      <c r="B14" s="242"/>
      <c r="C14" s="242"/>
      <c r="D14" s="243"/>
      <c r="E14" s="243"/>
      <c r="F14" s="243"/>
      <c r="G14" s="243"/>
      <c r="H14" s="243"/>
      <c r="I14" s="243"/>
    </row>
    <row r="15" spans="1:9" s="13" customFormat="1" ht="16.5" customHeight="1" x14ac:dyDescent="0.25">
      <c r="A15" s="42" t="s">
        <v>4</v>
      </c>
      <c r="B15" s="244">
        <f>SUM(B6:B14)</f>
        <v>1636.4</v>
      </c>
      <c r="C15" s="244">
        <f>SUM(C6:C14)</f>
        <v>2015</v>
      </c>
      <c r="D15" s="244">
        <f t="shared" ref="D15:I15" si="0">SUM(D6:D14)</f>
        <v>378.59999999999991</v>
      </c>
      <c r="E15" s="244">
        <f t="shared" si="0"/>
        <v>2015</v>
      </c>
      <c r="F15" s="244">
        <f t="shared" si="0"/>
        <v>378.59999999999991</v>
      </c>
      <c r="G15" s="244">
        <f t="shared" si="0"/>
        <v>1636.4</v>
      </c>
      <c r="H15" s="244">
        <f t="shared" si="0"/>
        <v>1636.4</v>
      </c>
      <c r="I15" s="244">
        <f t="shared" si="0"/>
        <v>1636.4</v>
      </c>
    </row>
  </sheetData>
  <mergeCells count="3">
    <mergeCell ref="A3:G3"/>
    <mergeCell ref="A2:I2"/>
    <mergeCell ref="A1:I1"/>
  </mergeCells>
  <printOptions horizontalCentered="1"/>
  <pageMargins left="0.39370078740157483" right="0.43307086614173229" top="0.74803149606299213" bottom="0.74803149606299213" header="0.31496062992125984" footer="0.31496062992125984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  <pageSetUpPr fitToPage="1"/>
  </sheetPr>
  <dimension ref="A1:L18"/>
  <sheetViews>
    <sheetView topLeftCell="A5" workbookViewId="0">
      <selection activeCell="H18" sqref="H18"/>
    </sheetView>
  </sheetViews>
  <sheetFormatPr defaultRowHeight="14.25" x14ac:dyDescent="0.2"/>
  <cols>
    <col min="1" max="1" width="32.28515625" style="33" bestFit="1" customWidth="1"/>
    <col min="2" max="2" width="19.140625" style="33" customWidth="1"/>
    <col min="3" max="3" width="18" style="33" customWidth="1"/>
    <col min="4" max="4" width="18.5703125" style="33" customWidth="1"/>
    <col min="5" max="6" width="18.5703125" style="33" hidden="1" customWidth="1"/>
    <col min="7" max="7" width="11.5703125" style="33" bestFit="1" customWidth="1"/>
    <col min="8" max="8" width="29.42578125" style="33" customWidth="1"/>
    <col min="9" max="9" width="28.28515625" style="33" customWidth="1"/>
    <col min="10" max="10" width="28.5703125" style="33" customWidth="1"/>
    <col min="11" max="11" width="9.140625" style="33"/>
    <col min="12" max="12" width="9.5703125" style="33" bestFit="1" customWidth="1"/>
    <col min="13" max="16384" width="9.140625" style="33"/>
  </cols>
  <sheetData>
    <row r="1" spans="1:10" s="377" customFormat="1" ht="18.75" x14ac:dyDescent="0.3">
      <c r="A1" s="853" t="s">
        <v>53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s="377" customFormat="1" ht="88.5" customHeight="1" x14ac:dyDescent="0.25">
      <c r="A2" s="852" t="s">
        <v>716</v>
      </c>
      <c r="B2" s="852"/>
      <c r="C2" s="852"/>
      <c r="D2" s="852"/>
      <c r="E2" s="852"/>
      <c r="F2" s="852"/>
      <c r="G2" s="852"/>
      <c r="H2" s="852"/>
      <c r="I2" s="852"/>
      <c r="J2" s="852"/>
    </row>
    <row r="3" spans="1:10" ht="21" customHeight="1" x14ac:dyDescent="0.2">
      <c r="A3" s="34"/>
      <c r="B3" s="34"/>
      <c r="C3" s="34"/>
      <c r="D3" s="34"/>
      <c r="E3" s="34"/>
      <c r="F3" s="34"/>
      <c r="G3" s="34"/>
      <c r="H3" s="35"/>
      <c r="I3" s="35"/>
      <c r="J3" s="35"/>
    </row>
    <row r="4" spans="1:10" ht="18" hidden="1" x14ac:dyDescent="0.25">
      <c r="A4" s="854" t="s">
        <v>245</v>
      </c>
      <c r="B4" s="854"/>
      <c r="C4" s="854"/>
      <c r="D4" s="854"/>
      <c r="E4" s="854"/>
      <c r="F4" s="854"/>
      <c r="G4" s="854"/>
      <c r="H4" s="854"/>
    </row>
    <row r="5" spans="1:10" s="6" customFormat="1" ht="15.75" x14ac:dyDescent="0.25">
      <c r="H5" s="45"/>
      <c r="I5" s="45"/>
      <c r="J5" s="45" t="s">
        <v>15</v>
      </c>
    </row>
    <row r="6" spans="1:10" s="6" customFormat="1" ht="114.75" customHeight="1" x14ac:dyDescent="0.2">
      <c r="A6" s="851" t="s">
        <v>196</v>
      </c>
      <c r="B6" s="851" t="s">
        <v>197</v>
      </c>
      <c r="C6" s="851" t="s">
        <v>198</v>
      </c>
      <c r="D6" s="851" t="s">
        <v>199</v>
      </c>
      <c r="E6" s="851" t="s">
        <v>199</v>
      </c>
      <c r="F6" s="306"/>
      <c r="G6" s="851" t="s">
        <v>200</v>
      </c>
      <c r="H6" s="851" t="s">
        <v>201</v>
      </c>
      <c r="I6" s="851" t="s">
        <v>202</v>
      </c>
      <c r="J6" s="851" t="s">
        <v>265</v>
      </c>
    </row>
    <row r="7" spans="1:10" s="6" customFormat="1" ht="67.5" customHeight="1" x14ac:dyDescent="0.2">
      <c r="A7" s="851"/>
      <c r="B7" s="851"/>
      <c r="C7" s="851"/>
      <c r="D7" s="851"/>
      <c r="E7" s="851"/>
      <c r="F7" s="306"/>
      <c r="G7" s="851"/>
      <c r="H7" s="851"/>
      <c r="I7" s="851"/>
      <c r="J7" s="851"/>
    </row>
    <row r="8" spans="1:10" s="181" customFormat="1" ht="15.75" x14ac:dyDescent="0.25">
      <c r="A8" s="36">
        <v>1</v>
      </c>
      <c r="B8" s="36">
        <v>2</v>
      </c>
      <c r="C8" s="36">
        <v>3</v>
      </c>
      <c r="D8" s="36">
        <v>4</v>
      </c>
      <c r="E8" s="36">
        <v>4</v>
      </c>
      <c r="F8" s="36"/>
      <c r="G8" s="36">
        <v>5</v>
      </c>
      <c r="H8" s="36">
        <v>6</v>
      </c>
      <c r="I8" s="36">
        <v>7</v>
      </c>
      <c r="J8" s="36">
        <v>8</v>
      </c>
    </row>
    <row r="9" spans="1:10" s="6" customFormat="1" ht="17.25" customHeight="1" x14ac:dyDescent="0.25">
      <c r="A9" s="32" t="s">
        <v>3</v>
      </c>
      <c r="B9" s="180">
        <v>110</v>
      </c>
      <c r="C9" s="182">
        <v>47.64</v>
      </c>
      <c r="D9" s="182">
        <f>E9*F9</f>
        <v>119.80449999999999</v>
      </c>
      <c r="E9" s="182">
        <v>126.11</v>
      </c>
      <c r="F9" s="182">
        <v>0.95</v>
      </c>
      <c r="G9" s="37">
        <v>12</v>
      </c>
      <c r="H9" s="696">
        <f t="shared" ref="H9:H17" si="0">ROUND((B9*C9*D9*G9)/1000,1)</f>
        <v>7533.9</v>
      </c>
      <c r="I9" s="696">
        <f>H9</f>
        <v>7533.9</v>
      </c>
      <c r="J9" s="696">
        <f>I9</f>
        <v>7533.9</v>
      </c>
    </row>
    <row r="10" spans="1:10" s="6" customFormat="1" ht="17.25" customHeight="1" x14ac:dyDescent="0.25">
      <c r="A10" s="32" t="s">
        <v>58</v>
      </c>
      <c r="B10" s="180">
        <v>225</v>
      </c>
      <c r="C10" s="182">
        <v>53.2</v>
      </c>
      <c r="D10" s="182">
        <f t="shared" ref="D10:D17" si="1">E10*F10</f>
        <v>124.26949999999999</v>
      </c>
      <c r="E10" s="182">
        <v>130.81</v>
      </c>
      <c r="F10" s="182">
        <v>0.95</v>
      </c>
      <c r="G10" s="37">
        <v>12</v>
      </c>
      <c r="H10" s="696">
        <f t="shared" si="0"/>
        <v>17850.099999999999</v>
      </c>
      <c r="I10" s="696">
        <f t="shared" ref="I10:J17" si="2">H10</f>
        <v>17850.099999999999</v>
      </c>
      <c r="J10" s="696">
        <f t="shared" si="2"/>
        <v>17850.099999999999</v>
      </c>
    </row>
    <row r="11" spans="1:10" s="6" customFormat="1" ht="17.25" customHeight="1" x14ac:dyDescent="0.25">
      <c r="A11" s="32" t="s">
        <v>55</v>
      </c>
      <c r="B11" s="697">
        <v>105</v>
      </c>
      <c r="C11" s="182">
        <v>56.5</v>
      </c>
      <c r="D11" s="182">
        <f t="shared" si="1"/>
        <v>135.59349999999998</v>
      </c>
      <c r="E11" s="182">
        <v>142.72999999999999</v>
      </c>
      <c r="F11" s="182">
        <v>0.95</v>
      </c>
      <c r="G11" s="37">
        <v>12</v>
      </c>
      <c r="H11" s="696">
        <f t="shared" si="0"/>
        <v>9652.9</v>
      </c>
      <c r="I11" s="696">
        <f t="shared" si="2"/>
        <v>9652.9</v>
      </c>
      <c r="J11" s="696">
        <f t="shared" si="2"/>
        <v>9652.9</v>
      </c>
    </row>
    <row r="12" spans="1:10" s="6" customFormat="1" ht="17.25" customHeight="1" x14ac:dyDescent="0.25">
      <c r="A12" s="32" t="s">
        <v>60</v>
      </c>
      <c r="B12" s="697">
        <v>77.709999999999994</v>
      </c>
      <c r="C12" s="182">
        <v>51.3</v>
      </c>
      <c r="D12" s="182">
        <f>E12*F12-0.222</f>
        <v>75.626000000000005</v>
      </c>
      <c r="E12" s="182">
        <v>79.84</v>
      </c>
      <c r="F12" s="182">
        <v>0.95</v>
      </c>
      <c r="G12" s="37">
        <v>12</v>
      </c>
      <c r="H12" s="696">
        <f t="shared" si="0"/>
        <v>3617.8</v>
      </c>
      <c r="I12" s="696">
        <f t="shared" si="2"/>
        <v>3617.8</v>
      </c>
      <c r="J12" s="696">
        <f t="shared" si="2"/>
        <v>3617.8</v>
      </c>
    </row>
    <row r="13" spans="1:10" s="6" customFormat="1" ht="17.25" customHeight="1" x14ac:dyDescent="0.25">
      <c r="A13" s="32" t="s">
        <v>57</v>
      </c>
      <c r="B13" s="697">
        <v>67.510000000000005</v>
      </c>
      <c r="C13" s="182">
        <v>56.16</v>
      </c>
      <c r="D13" s="182">
        <f t="shared" si="1"/>
        <v>135.73599999999999</v>
      </c>
      <c r="E13" s="182">
        <v>142.88</v>
      </c>
      <c r="F13" s="182">
        <v>0.95</v>
      </c>
      <c r="G13" s="37">
        <v>12</v>
      </c>
      <c r="H13" s="696">
        <f t="shared" si="0"/>
        <v>6175.5</v>
      </c>
      <c r="I13" s="696">
        <f t="shared" si="2"/>
        <v>6175.5</v>
      </c>
      <c r="J13" s="696">
        <f t="shared" si="2"/>
        <v>6175.5</v>
      </c>
    </row>
    <row r="14" spans="1:10" s="6" customFormat="1" ht="17.25" customHeight="1" x14ac:dyDescent="0.25">
      <c r="A14" s="32" t="s">
        <v>61</v>
      </c>
      <c r="B14" s="697">
        <v>142</v>
      </c>
      <c r="C14" s="182">
        <v>51.8</v>
      </c>
      <c r="D14" s="182">
        <f t="shared" si="1"/>
        <v>144.4</v>
      </c>
      <c r="E14" s="182">
        <v>152</v>
      </c>
      <c r="F14" s="182">
        <v>0.95</v>
      </c>
      <c r="G14" s="37">
        <v>12</v>
      </c>
      <c r="H14" s="696">
        <f t="shared" si="0"/>
        <v>12745.8</v>
      </c>
      <c r="I14" s="696">
        <f t="shared" si="2"/>
        <v>12745.8</v>
      </c>
      <c r="J14" s="696">
        <f t="shared" si="2"/>
        <v>12745.8</v>
      </c>
    </row>
    <row r="15" spans="1:10" s="6" customFormat="1" ht="17.25" customHeight="1" x14ac:dyDescent="0.25">
      <c r="A15" s="32" t="s">
        <v>62</v>
      </c>
      <c r="B15" s="697">
        <v>97</v>
      </c>
      <c r="C15" s="182">
        <v>53.65</v>
      </c>
      <c r="D15" s="182">
        <f t="shared" si="1"/>
        <v>119.35799999999999</v>
      </c>
      <c r="E15" s="182">
        <v>125.64</v>
      </c>
      <c r="F15" s="182">
        <v>0.95</v>
      </c>
      <c r="G15" s="37">
        <v>12</v>
      </c>
      <c r="H15" s="696">
        <f t="shared" si="0"/>
        <v>7453.7</v>
      </c>
      <c r="I15" s="696">
        <f t="shared" si="2"/>
        <v>7453.7</v>
      </c>
      <c r="J15" s="696">
        <f t="shared" si="2"/>
        <v>7453.7</v>
      </c>
    </row>
    <row r="16" spans="1:10" s="6" customFormat="1" ht="17.25" customHeight="1" x14ac:dyDescent="0.25">
      <c r="A16" s="32" t="s">
        <v>63</v>
      </c>
      <c r="B16" s="697">
        <v>153.447</v>
      </c>
      <c r="C16" s="182">
        <v>55.71</v>
      </c>
      <c r="D16" s="182">
        <f t="shared" si="1"/>
        <v>112.499</v>
      </c>
      <c r="E16" s="182">
        <v>118.42</v>
      </c>
      <c r="F16" s="182">
        <v>0.95</v>
      </c>
      <c r="G16" s="37">
        <v>12</v>
      </c>
      <c r="H16" s="696">
        <f t="shared" si="0"/>
        <v>11540.4</v>
      </c>
      <c r="I16" s="696">
        <f t="shared" si="2"/>
        <v>11540.4</v>
      </c>
      <c r="J16" s="696">
        <f t="shared" si="2"/>
        <v>11540.4</v>
      </c>
    </row>
    <row r="17" spans="1:12" ht="17.25" customHeight="1" x14ac:dyDescent="0.25">
      <c r="A17" s="32" t="s">
        <v>64</v>
      </c>
      <c r="B17" s="180">
        <v>150</v>
      </c>
      <c r="C17" s="182">
        <v>53.57</v>
      </c>
      <c r="D17" s="182">
        <f t="shared" si="1"/>
        <v>133.26599999999999</v>
      </c>
      <c r="E17" s="182">
        <v>140.28</v>
      </c>
      <c r="F17" s="182">
        <v>0.95</v>
      </c>
      <c r="G17" s="37">
        <v>12</v>
      </c>
      <c r="H17" s="696">
        <f t="shared" si="0"/>
        <v>12850.3</v>
      </c>
      <c r="I17" s="696">
        <f t="shared" si="2"/>
        <v>12850.3</v>
      </c>
      <c r="J17" s="696">
        <f t="shared" si="2"/>
        <v>12850.3</v>
      </c>
    </row>
    <row r="18" spans="1:12" ht="27.75" customHeight="1" x14ac:dyDescent="0.25">
      <c r="A18" s="193" t="s">
        <v>182</v>
      </c>
      <c r="B18" s="194">
        <f>SUM(B9:B17)</f>
        <v>1127.6669999999999</v>
      </c>
      <c r="C18" s="195"/>
      <c r="D18" s="195"/>
      <c r="E18" s="195"/>
      <c r="F18" s="195"/>
      <c r="G18" s="195">
        <v>12</v>
      </c>
      <c r="H18" s="196">
        <f>SUM(H9:H17)</f>
        <v>89420.4</v>
      </c>
      <c r="I18" s="196">
        <f t="shared" ref="I18" si="3">SUM(I9:I17)</f>
        <v>89420.4</v>
      </c>
      <c r="J18" s="698">
        <f t="shared" ref="J18" si="4">I18</f>
        <v>89420.4</v>
      </c>
      <c r="L18" s="699"/>
    </row>
  </sheetData>
  <mergeCells count="12">
    <mergeCell ref="I6:I7"/>
    <mergeCell ref="J6:J7"/>
    <mergeCell ref="A2:J2"/>
    <mergeCell ref="A1:J1"/>
    <mergeCell ref="A6:A7"/>
    <mergeCell ref="B6:B7"/>
    <mergeCell ref="C6:C7"/>
    <mergeCell ref="D6:D7"/>
    <mergeCell ref="G6:G7"/>
    <mergeCell ref="H6:H7"/>
    <mergeCell ref="A4:H4"/>
    <mergeCell ref="E6:E7"/>
  </mergeCells>
  <pageMargins left="0.62992125984251968" right="0.23622047244094491" top="0.51181102362204722" bottom="0.5118110236220472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topLeftCell="A4" zoomScale="98" zoomScaleNormal="98" zoomScaleSheetLayoutView="80" workbookViewId="0">
      <selection activeCell="E5" sqref="E5:G6"/>
    </sheetView>
  </sheetViews>
  <sheetFormatPr defaultColWidth="18.28515625" defaultRowHeight="15.75" x14ac:dyDescent="0.25"/>
  <cols>
    <col min="1" max="1" width="43.28515625" style="5" customWidth="1"/>
    <col min="2" max="2" width="12.28515625" style="5" customWidth="1"/>
    <col min="3" max="3" width="13.140625" style="5" customWidth="1"/>
    <col min="4" max="4" width="25.42578125" style="5" customWidth="1"/>
    <col min="5" max="5" width="16" style="5" customWidth="1"/>
    <col min="6" max="6" width="13" style="5" customWidth="1"/>
    <col min="7" max="7" width="12.28515625" style="5" customWidth="1"/>
    <col min="8" max="8" width="15" style="5" customWidth="1"/>
    <col min="9" max="9" width="14.28515625" style="5" customWidth="1"/>
    <col min="10" max="10" width="12.42578125" style="5" customWidth="1"/>
    <col min="11" max="11" width="11" style="5" customWidth="1"/>
    <col min="12" max="13" width="10.85546875" style="5" customWidth="1"/>
    <col min="14" max="14" width="12.28515625" style="5" customWidth="1"/>
    <col min="15" max="16384" width="18.28515625" style="5"/>
  </cols>
  <sheetData>
    <row r="1" spans="1:10" ht="30.75" customHeight="1" x14ac:dyDescent="0.25">
      <c r="A1" s="743" t="s">
        <v>53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0" ht="24.75" customHeight="1" x14ac:dyDescent="0.25">
      <c r="A2" s="743" t="s">
        <v>430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1.75" customHeight="1" x14ac:dyDescent="0.25">
      <c r="A3" s="743" t="s">
        <v>429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10" ht="46.5" customHeight="1" x14ac:dyDescent="0.25">
      <c r="J4" s="45" t="s">
        <v>15</v>
      </c>
    </row>
    <row r="5" spans="1:10" ht="15.75" customHeight="1" x14ac:dyDescent="0.25">
      <c r="A5" s="746" t="s">
        <v>428</v>
      </c>
      <c r="B5" s="744" t="s">
        <v>427</v>
      </c>
      <c r="C5" s="744"/>
      <c r="D5" s="744"/>
      <c r="E5" s="745" t="s">
        <v>426</v>
      </c>
      <c r="F5" s="745"/>
      <c r="G5" s="745"/>
      <c r="H5" s="745" t="s">
        <v>425</v>
      </c>
      <c r="I5" s="745"/>
      <c r="J5" s="745"/>
    </row>
    <row r="6" spans="1:10" ht="200.25" customHeight="1" x14ac:dyDescent="0.25">
      <c r="A6" s="747"/>
      <c r="B6" s="744"/>
      <c r="C6" s="744"/>
      <c r="D6" s="744"/>
      <c r="E6" s="745"/>
      <c r="F6" s="745"/>
      <c r="G6" s="745"/>
      <c r="H6" s="745"/>
      <c r="I6" s="745"/>
      <c r="J6" s="745"/>
    </row>
    <row r="7" spans="1:10" ht="44.25" customHeight="1" x14ac:dyDescent="0.25">
      <c r="A7" s="748"/>
      <c r="B7" s="432" t="s">
        <v>180</v>
      </c>
      <c r="C7" s="432" t="s">
        <v>204</v>
      </c>
      <c r="D7" s="432" t="s">
        <v>333</v>
      </c>
      <c r="E7" s="432" t="s">
        <v>180</v>
      </c>
      <c r="F7" s="432" t="s">
        <v>204</v>
      </c>
      <c r="G7" s="432" t="s">
        <v>333</v>
      </c>
      <c r="H7" s="432" t="s">
        <v>180</v>
      </c>
      <c r="I7" s="432" t="s">
        <v>204</v>
      </c>
      <c r="J7" s="432" t="s">
        <v>333</v>
      </c>
    </row>
    <row r="8" spans="1:10" ht="13.5" customHeight="1" x14ac:dyDescent="0.25">
      <c r="A8" s="431" t="s">
        <v>3</v>
      </c>
      <c r="B8" s="430">
        <v>4215.8999999999996</v>
      </c>
      <c r="C8" s="430">
        <v>4215.8999999999996</v>
      </c>
      <c r="D8" s="430">
        <v>4215.8999999999996</v>
      </c>
      <c r="E8" s="430">
        <v>16834.400000000001</v>
      </c>
      <c r="F8" s="430">
        <f t="shared" ref="F8:G16" si="0">E8</f>
        <v>16834.400000000001</v>
      </c>
      <c r="G8" s="430">
        <f t="shared" si="0"/>
        <v>16834.400000000001</v>
      </c>
      <c r="H8" s="430">
        <f t="shared" ref="H8:H16" si="1">B8+E8</f>
        <v>21050.300000000003</v>
      </c>
      <c r="I8" s="430">
        <f t="shared" ref="I8:I16" si="2">C8+F8</f>
        <v>21050.300000000003</v>
      </c>
      <c r="J8" s="430">
        <f t="shared" ref="J8:J16" si="3">D8+G8</f>
        <v>21050.300000000003</v>
      </c>
    </row>
    <row r="9" spans="1:10" ht="15" customHeight="1" x14ac:dyDescent="0.25">
      <c r="A9" s="431" t="s">
        <v>58</v>
      </c>
      <c r="B9" s="430">
        <v>1247.5</v>
      </c>
      <c r="C9" s="430">
        <v>1247.5</v>
      </c>
      <c r="D9" s="430">
        <v>1247.5</v>
      </c>
      <c r="E9" s="430">
        <v>3686.1</v>
      </c>
      <c r="F9" s="430">
        <f t="shared" si="0"/>
        <v>3686.1</v>
      </c>
      <c r="G9" s="430">
        <f t="shared" si="0"/>
        <v>3686.1</v>
      </c>
      <c r="H9" s="430">
        <f t="shared" si="1"/>
        <v>4933.6000000000004</v>
      </c>
      <c r="I9" s="430">
        <f t="shared" si="2"/>
        <v>4933.6000000000004</v>
      </c>
      <c r="J9" s="430">
        <f t="shared" si="3"/>
        <v>4933.6000000000004</v>
      </c>
    </row>
    <row r="10" spans="1:10" ht="18" customHeight="1" x14ac:dyDescent="0.25">
      <c r="A10" s="431" t="s">
        <v>55</v>
      </c>
      <c r="B10" s="430">
        <v>718.6</v>
      </c>
      <c r="C10" s="430">
        <v>718.6</v>
      </c>
      <c r="D10" s="430">
        <v>718.6</v>
      </c>
      <c r="E10" s="430">
        <v>2545.3000000000002</v>
      </c>
      <c r="F10" s="430">
        <f t="shared" si="0"/>
        <v>2545.3000000000002</v>
      </c>
      <c r="G10" s="430">
        <f t="shared" si="0"/>
        <v>2545.3000000000002</v>
      </c>
      <c r="H10" s="430">
        <f t="shared" si="1"/>
        <v>3263.9</v>
      </c>
      <c r="I10" s="430">
        <f t="shared" si="2"/>
        <v>3263.9</v>
      </c>
      <c r="J10" s="430">
        <f t="shared" si="3"/>
        <v>3263.9</v>
      </c>
    </row>
    <row r="11" spans="1:10" ht="19.5" customHeight="1" x14ac:dyDescent="0.25">
      <c r="A11" s="431" t="s">
        <v>60</v>
      </c>
      <c r="B11" s="430">
        <v>705</v>
      </c>
      <c r="C11" s="430">
        <v>705</v>
      </c>
      <c r="D11" s="430">
        <v>705</v>
      </c>
      <c r="E11" s="430">
        <v>2732.9</v>
      </c>
      <c r="F11" s="430">
        <f t="shared" si="0"/>
        <v>2732.9</v>
      </c>
      <c r="G11" s="430">
        <f t="shared" si="0"/>
        <v>2732.9</v>
      </c>
      <c r="H11" s="430">
        <f t="shared" si="1"/>
        <v>3437.9</v>
      </c>
      <c r="I11" s="430">
        <f t="shared" si="2"/>
        <v>3437.9</v>
      </c>
      <c r="J11" s="430">
        <f t="shared" si="3"/>
        <v>3437.9</v>
      </c>
    </row>
    <row r="12" spans="1:10" ht="12.75" customHeight="1" x14ac:dyDescent="0.25">
      <c r="A12" s="431" t="s">
        <v>57</v>
      </c>
      <c r="B12" s="430">
        <v>603.4</v>
      </c>
      <c r="C12" s="430">
        <v>603.4</v>
      </c>
      <c r="D12" s="430">
        <v>603.4</v>
      </c>
      <c r="E12" s="430">
        <v>2805.1</v>
      </c>
      <c r="F12" s="430">
        <f t="shared" si="0"/>
        <v>2805.1</v>
      </c>
      <c r="G12" s="430">
        <f t="shared" si="0"/>
        <v>2805.1</v>
      </c>
      <c r="H12" s="430">
        <f t="shared" si="1"/>
        <v>3408.5</v>
      </c>
      <c r="I12" s="430">
        <f t="shared" si="2"/>
        <v>3408.5</v>
      </c>
      <c r="J12" s="430">
        <f t="shared" si="3"/>
        <v>3408.5</v>
      </c>
    </row>
    <row r="13" spans="1:10" ht="16.5" customHeight="1" x14ac:dyDescent="0.25">
      <c r="A13" s="431" t="s">
        <v>61</v>
      </c>
      <c r="B13" s="430">
        <v>773</v>
      </c>
      <c r="C13" s="430">
        <v>773</v>
      </c>
      <c r="D13" s="430">
        <v>773</v>
      </c>
      <c r="E13" s="430">
        <v>2603.9</v>
      </c>
      <c r="F13" s="430">
        <f t="shared" si="0"/>
        <v>2603.9</v>
      </c>
      <c r="G13" s="430">
        <f t="shared" si="0"/>
        <v>2603.9</v>
      </c>
      <c r="H13" s="430">
        <f t="shared" si="1"/>
        <v>3376.9</v>
      </c>
      <c r="I13" s="430">
        <f t="shared" si="2"/>
        <v>3376.9</v>
      </c>
      <c r="J13" s="430">
        <f t="shared" si="3"/>
        <v>3376.9</v>
      </c>
    </row>
    <row r="14" spans="1:10" ht="17.25" customHeight="1" x14ac:dyDescent="0.25">
      <c r="A14" s="431" t="s">
        <v>62</v>
      </c>
      <c r="B14" s="430">
        <v>773</v>
      </c>
      <c r="C14" s="430">
        <v>773</v>
      </c>
      <c r="D14" s="430">
        <v>773</v>
      </c>
      <c r="E14" s="430">
        <v>2566</v>
      </c>
      <c r="F14" s="430">
        <f t="shared" si="0"/>
        <v>2566</v>
      </c>
      <c r="G14" s="430">
        <f t="shared" si="0"/>
        <v>2566</v>
      </c>
      <c r="H14" s="430">
        <f t="shared" si="1"/>
        <v>3339</v>
      </c>
      <c r="I14" s="430">
        <f t="shared" si="2"/>
        <v>3339</v>
      </c>
      <c r="J14" s="430">
        <f t="shared" si="3"/>
        <v>3339</v>
      </c>
    </row>
    <row r="15" spans="1:10" ht="15" customHeight="1" x14ac:dyDescent="0.25">
      <c r="A15" s="431" t="s">
        <v>63</v>
      </c>
      <c r="B15" s="430">
        <v>1204.3</v>
      </c>
      <c r="C15" s="430">
        <v>1204.3</v>
      </c>
      <c r="D15" s="430">
        <v>1204.3</v>
      </c>
      <c r="E15" s="430">
        <v>2562.5</v>
      </c>
      <c r="F15" s="430">
        <f t="shared" si="0"/>
        <v>2562.5</v>
      </c>
      <c r="G15" s="430">
        <f t="shared" si="0"/>
        <v>2562.5</v>
      </c>
      <c r="H15" s="430">
        <f t="shared" si="1"/>
        <v>3766.8</v>
      </c>
      <c r="I15" s="430">
        <f t="shared" si="2"/>
        <v>3766.8</v>
      </c>
      <c r="J15" s="430">
        <f t="shared" si="3"/>
        <v>3766.8</v>
      </c>
    </row>
    <row r="16" spans="1:10" ht="13.5" customHeight="1" x14ac:dyDescent="0.25">
      <c r="A16" s="431" t="s">
        <v>64</v>
      </c>
      <c r="B16" s="430">
        <v>1445.3</v>
      </c>
      <c r="C16" s="430">
        <v>1445.3</v>
      </c>
      <c r="D16" s="430">
        <v>1445.3</v>
      </c>
      <c r="E16" s="430">
        <v>3981.6</v>
      </c>
      <c r="F16" s="430">
        <f t="shared" si="0"/>
        <v>3981.6</v>
      </c>
      <c r="G16" s="430">
        <f t="shared" si="0"/>
        <v>3981.6</v>
      </c>
      <c r="H16" s="430">
        <f t="shared" si="1"/>
        <v>5426.9</v>
      </c>
      <c r="I16" s="430">
        <f t="shared" si="2"/>
        <v>5426.9</v>
      </c>
      <c r="J16" s="430">
        <f t="shared" si="3"/>
        <v>5426.9</v>
      </c>
    </row>
    <row r="17" spans="1:10" ht="17.25" customHeight="1" x14ac:dyDescent="0.25">
      <c r="A17" s="372" t="s">
        <v>17</v>
      </c>
      <c r="B17" s="430">
        <f t="shared" ref="B17:J17" si="4">SUM(B8:B16)</f>
        <v>11685.999999999998</v>
      </c>
      <c r="C17" s="430">
        <f t="shared" si="4"/>
        <v>11685.999999999998</v>
      </c>
      <c r="D17" s="430">
        <f t="shared" si="4"/>
        <v>11685.999999999998</v>
      </c>
      <c r="E17" s="430">
        <f t="shared" si="4"/>
        <v>40317.799999999996</v>
      </c>
      <c r="F17" s="430">
        <f t="shared" si="4"/>
        <v>40317.799999999996</v>
      </c>
      <c r="G17" s="430">
        <f t="shared" si="4"/>
        <v>40317.799999999996</v>
      </c>
      <c r="H17" s="430">
        <f t="shared" si="4"/>
        <v>52003.80000000001</v>
      </c>
      <c r="I17" s="430">
        <f t="shared" si="4"/>
        <v>52003.80000000001</v>
      </c>
      <c r="J17" s="430">
        <f t="shared" si="4"/>
        <v>52003.80000000001</v>
      </c>
    </row>
    <row r="18" spans="1:10" x14ac:dyDescent="0.25">
      <c r="A18" s="429"/>
    </row>
    <row r="19" spans="1:10" ht="29.25" customHeight="1" x14ac:dyDescent="0.25">
      <c r="A19" s="429"/>
    </row>
    <row r="20" spans="1:10" ht="28.5" customHeight="1" x14ac:dyDescent="0.25"/>
  </sheetData>
  <mergeCells count="7">
    <mergeCell ref="A1:J1"/>
    <mergeCell ref="A2:J2"/>
    <mergeCell ref="A3:J3"/>
    <mergeCell ref="B5:D6"/>
    <mergeCell ref="E5:G6"/>
    <mergeCell ref="H5:J6"/>
    <mergeCell ref="A5:A7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6"/>
  <sheetViews>
    <sheetView topLeftCell="A7" zoomScaleNormal="100" workbookViewId="0">
      <selection activeCell="K40" sqref="K40"/>
    </sheetView>
  </sheetViews>
  <sheetFormatPr defaultRowHeight="12.75" x14ac:dyDescent="0.2"/>
  <cols>
    <col min="1" max="1" width="36.28515625" customWidth="1"/>
    <col min="2" max="3" width="9.28515625" bestFit="1" customWidth="1"/>
    <col min="4" max="4" width="10.140625" bestFit="1" customWidth="1"/>
    <col min="5" max="5" width="9.28515625" bestFit="1" customWidth="1"/>
    <col min="6" max="6" width="16.140625" customWidth="1"/>
    <col min="7" max="8" width="9.28515625" bestFit="1" customWidth="1"/>
    <col min="9" max="9" width="10.140625" bestFit="1" customWidth="1"/>
    <col min="10" max="10" width="9.28515625" bestFit="1" customWidth="1"/>
    <col min="11" max="11" width="15.85546875" customWidth="1"/>
    <col min="12" max="13" width="9.28515625" bestFit="1" customWidth="1"/>
    <col min="14" max="14" width="10.140625" bestFit="1" customWidth="1"/>
    <col min="15" max="15" width="9.28515625" bestFit="1" customWidth="1"/>
    <col min="16" max="16" width="15.42578125" customWidth="1"/>
    <col min="17" max="17" width="13.28515625" customWidth="1"/>
  </cols>
  <sheetData>
    <row r="1" spans="1:17" x14ac:dyDescent="0.2">
      <c r="A1" s="855" t="s">
        <v>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</row>
    <row r="2" spans="1:17" ht="39.75" customHeight="1" x14ac:dyDescent="0.2">
      <c r="A2" s="856" t="s">
        <v>751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</row>
    <row r="3" spans="1:17" ht="13.5" thickBot="1" x14ac:dyDescent="0.25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</row>
    <row r="4" spans="1:17" ht="42.75" customHeight="1" thickBot="1" x14ac:dyDescent="0.25">
      <c r="A4" s="858" t="s">
        <v>1</v>
      </c>
      <c r="B4" s="860" t="s">
        <v>721</v>
      </c>
      <c r="C4" s="861"/>
      <c r="D4" s="861"/>
      <c r="E4" s="861"/>
      <c r="F4" s="862"/>
      <c r="G4" s="860" t="s">
        <v>722</v>
      </c>
      <c r="H4" s="861"/>
      <c r="I4" s="861"/>
      <c r="J4" s="861"/>
      <c r="K4" s="862"/>
      <c r="L4" s="860" t="s">
        <v>723</v>
      </c>
      <c r="M4" s="861"/>
      <c r="N4" s="861"/>
      <c r="O4" s="861"/>
      <c r="P4" s="863"/>
      <c r="Q4" s="864" t="s">
        <v>724</v>
      </c>
    </row>
    <row r="5" spans="1:17" ht="409.5" x14ac:dyDescent="0.2">
      <c r="A5" s="859"/>
      <c r="B5" s="720" t="s">
        <v>725</v>
      </c>
      <c r="C5" s="721" t="s">
        <v>726</v>
      </c>
      <c r="D5" s="721" t="s">
        <v>727</v>
      </c>
      <c r="E5" s="721" t="s">
        <v>728</v>
      </c>
      <c r="F5" s="722" t="s">
        <v>729</v>
      </c>
      <c r="G5" s="720" t="s">
        <v>730</v>
      </c>
      <c r="H5" s="721" t="s">
        <v>726</v>
      </c>
      <c r="I5" s="721" t="s">
        <v>727</v>
      </c>
      <c r="J5" s="721" t="s">
        <v>728</v>
      </c>
      <c r="K5" s="722" t="s">
        <v>729</v>
      </c>
      <c r="L5" s="720" t="s">
        <v>731</v>
      </c>
      <c r="M5" s="721" t="s">
        <v>732</v>
      </c>
      <c r="N5" s="721" t="s">
        <v>727</v>
      </c>
      <c r="O5" s="721" t="s">
        <v>728</v>
      </c>
      <c r="P5" s="723" t="s">
        <v>729</v>
      </c>
      <c r="Q5" s="865"/>
    </row>
    <row r="6" spans="1:17" ht="25.5" x14ac:dyDescent="0.2">
      <c r="A6" s="700" t="s">
        <v>733</v>
      </c>
      <c r="B6" s="701" t="s">
        <v>734</v>
      </c>
      <c r="C6" s="702" t="s">
        <v>735</v>
      </c>
      <c r="D6" s="702" t="s">
        <v>736</v>
      </c>
      <c r="E6" s="702" t="s">
        <v>737</v>
      </c>
      <c r="F6" s="703" t="s">
        <v>738</v>
      </c>
      <c r="G6" s="701" t="s">
        <v>739</v>
      </c>
      <c r="H6" s="702" t="s">
        <v>740</v>
      </c>
      <c r="I6" s="702" t="s">
        <v>741</v>
      </c>
      <c r="J6" s="702" t="s">
        <v>742</v>
      </c>
      <c r="K6" s="703" t="s">
        <v>743</v>
      </c>
      <c r="L6" s="701" t="s">
        <v>744</v>
      </c>
      <c r="M6" s="702" t="s">
        <v>745</v>
      </c>
      <c r="N6" s="702" t="s">
        <v>746</v>
      </c>
      <c r="O6" s="702" t="s">
        <v>747</v>
      </c>
      <c r="P6" s="704" t="s">
        <v>748</v>
      </c>
      <c r="Q6" s="700" t="s">
        <v>749</v>
      </c>
    </row>
    <row r="7" spans="1:17" s="13" customFormat="1" ht="15.75" x14ac:dyDescent="0.25">
      <c r="A7" s="712" t="s">
        <v>6</v>
      </c>
      <c r="B7" s="713">
        <v>1</v>
      </c>
      <c r="C7" s="82">
        <v>42</v>
      </c>
      <c r="D7" s="714">
        <v>44118</v>
      </c>
      <c r="E7" s="82">
        <v>8.6669999999999997E-2</v>
      </c>
      <c r="F7" s="715">
        <f>B7*C7*D7*(30-E7)</f>
        <v>55428084.303479999</v>
      </c>
      <c r="G7" s="713">
        <v>1</v>
      </c>
      <c r="H7" s="82">
        <v>42</v>
      </c>
      <c r="I7" s="714">
        <v>44118</v>
      </c>
      <c r="J7" s="82">
        <v>8.6669999999999997E-2</v>
      </c>
      <c r="K7" s="716">
        <f>G7*H7*I7*(35-J7)</f>
        <v>64692864.303480007</v>
      </c>
      <c r="L7" s="717">
        <v>21.192799999999998</v>
      </c>
      <c r="M7" s="82">
        <v>18</v>
      </c>
      <c r="N7" s="714">
        <v>44118</v>
      </c>
      <c r="O7" s="82">
        <v>8.6669999999999997E-2</v>
      </c>
      <c r="P7" s="716">
        <f>L7*M7*N7*(35-O7)</f>
        <v>587581257.69033897</v>
      </c>
      <c r="Q7" s="718">
        <f>ROUND((F7+K7+P7)/100/1000,1)</f>
        <v>7077</v>
      </c>
    </row>
    <row r="8" spans="1:17" s="13" customFormat="1" ht="15.75" x14ac:dyDescent="0.25">
      <c r="A8" s="712" t="s">
        <v>58</v>
      </c>
      <c r="B8" s="713">
        <v>1</v>
      </c>
      <c r="C8" s="82">
        <v>42</v>
      </c>
      <c r="D8" s="714">
        <v>28600</v>
      </c>
      <c r="E8" s="82">
        <v>6.4</v>
      </c>
      <c r="F8" s="715">
        <f>B8*C8*D8*(30-E8)</f>
        <v>28348320</v>
      </c>
      <c r="G8" s="713">
        <v>7</v>
      </c>
      <c r="H8" s="82">
        <v>42</v>
      </c>
      <c r="I8" s="714">
        <v>28600</v>
      </c>
      <c r="J8" s="82">
        <v>6.4</v>
      </c>
      <c r="K8" s="715">
        <f>(G8*H8*I8*(35-J8))</f>
        <v>240480240</v>
      </c>
      <c r="L8" s="713">
        <v>8</v>
      </c>
      <c r="M8" s="82">
        <v>18</v>
      </c>
      <c r="N8" s="714">
        <v>28600</v>
      </c>
      <c r="O8" s="719">
        <v>6.4</v>
      </c>
      <c r="P8" s="716">
        <f>(L8*M8*N8*(35-O8))</f>
        <v>117786240</v>
      </c>
      <c r="Q8" s="718">
        <f t="shared" ref="Q8:Q15" si="0">ROUND((F8+K8+P8)/100/1000,1)</f>
        <v>3866.1</v>
      </c>
    </row>
    <row r="9" spans="1:17" s="13" customFormat="1" ht="15.75" x14ac:dyDescent="0.25">
      <c r="A9" s="712" t="s">
        <v>55</v>
      </c>
      <c r="B9" s="713"/>
      <c r="C9" s="82">
        <v>42</v>
      </c>
      <c r="D9" s="714">
        <v>11500</v>
      </c>
      <c r="E9" s="82">
        <v>5</v>
      </c>
      <c r="F9" s="715">
        <f t="shared" ref="F9:F15" si="1">B9*C9*D9*(30-E9)</f>
        <v>0</v>
      </c>
      <c r="G9" s="713"/>
      <c r="H9" s="82">
        <v>42</v>
      </c>
      <c r="I9" s="714">
        <v>11500</v>
      </c>
      <c r="J9" s="82">
        <v>5</v>
      </c>
      <c r="K9" s="715">
        <f>(G9*H9*I9*(35-J9))</f>
        <v>0</v>
      </c>
      <c r="L9" s="713">
        <v>2</v>
      </c>
      <c r="M9" s="82">
        <v>18</v>
      </c>
      <c r="N9" s="714">
        <v>11500</v>
      </c>
      <c r="O9" s="719">
        <v>5</v>
      </c>
      <c r="P9" s="716">
        <f>(L9*M9*N9*(35-O9))</f>
        <v>12420000</v>
      </c>
      <c r="Q9" s="718">
        <f t="shared" si="0"/>
        <v>124.2</v>
      </c>
    </row>
    <row r="10" spans="1:17" s="13" customFormat="1" ht="15.75" x14ac:dyDescent="0.25">
      <c r="A10" s="712" t="s">
        <v>60</v>
      </c>
      <c r="B10" s="713"/>
      <c r="C10" s="82">
        <v>42</v>
      </c>
      <c r="D10" s="714">
        <v>21513.86</v>
      </c>
      <c r="E10" s="82">
        <v>10</v>
      </c>
      <c r="F10" s="715">
        <f t="shared" si="1"/>
        <v>0</v>
      </c>
      <c r="G10" s="713"/>
      <c r="H10" s="82">
        <v>42</v>
      </c>
      <c r="I10" s="714">
        <v>21513.86</v>
      </c>
      <c r="J10" s="82">
        <v>10</v>
      </c>
      <c r="K10" s="715">
        <f t="shared" ref="K10:K15" si="2">G10*H10*I10*(35-J10)</f>
        <v>0</v>
      </c>
      <c r="L10" s="713">
        <v>2</v>
      </c>
      <c r="M10" s="82">
        <v>18</v>
      </c>
      <c r="N10" s="714">
        <v>21513.86</v>
      </c>
      <c r="O10" s="719">
        <v>10</v>
      </c>
      <c r="P10" s="716">
        <f t="shared" ref="P10:P15" si="3">L10*M10*N10*(35-O10)</f>
        <v>19362474</v>
      </c>
      <c r="Q10" s="718">
        <f t="shared" si="0"/>
        <v>193.6</v>
      </c>
    </row>
    <row r="11" spans="1:17" s="13" customFormat="1" ht="15.75" x14ac:dyDescent="0.25">
      <c r="A11" s="712" t="s">
        <v>57</v>
      </c>
      <c r="B11" s="713"/>
      <c r="C11" s="82">
        <v>42</v>
      </c>
      <c r="D11" s="714">
        <v>12500</v>
      </c>
      <c r="E11" s="82">
        <v>2</v>
      </c>
      <c r="F11" s="715">
        <f t="shared" si="1"/>
        <v>0</v>
      </c>
      <c r="G11" s="713"/>
      <c r="H11" s="82">
        <v>42</v>
      </c>
      <c r="I11" s="714">
        <v>12500</v>
      </c>
      <c r="J11" s="82">
        <v>2</v>
      </c>
      <c r="K11" s="715">
        <f t="shared" si="2"/>
        <v>0</v>
      </c>
      <c r="L11" s="713"/>
      <c r="M11" s="82">
        <v>18</v>
      </c>
      <c r="N11" s="714">
        <v>12500</v>
      </c>
      <c r="O11" s="719">
        <v>2</v>
      </c>
      <c r="P11" s="716">
        <f t="shared" si="3"/>
        <v>0</v>
      </c>
      <c r="Q11" s="718">
        <f t="shared" si="0"/>
        <v>0</v>
      </c>
    </row>
    <row r="12" spans="1:17" s="13" customFormat="1" ht="15.75" x14ac:dyDescent="0.25">
      <c r="A12" s="712" t="s">
        <v>61</v>
      </c>
      <c r="B12" s="713"/>
      <c r="C12" s="82">
        <v>42</v>
      </c>
      <c r="D12" s="714">
        <v>18000</v>
      </c>
      <c r="E12" s="82">
        <v>5</v>
      </c>
      <c r="F12" s="715">
        <f t="shared" si="1"/>
        <v>0</v>
      </c>
      <c r="G12" s="713">
        <v>1</v>
      </c>
      <c r="H12" s="82">
        <v>42</v>
      </c>
      <c r="I12" s="714">
        <v>18000</v>
      </c>
      <c r="J12" s="82">
        <v>5</v>
      </c>
      <c r="K12" s="715">
        <f t="shared" si="2"/>
        <v>22680000</v>
      </c>
      <c r="L12" s="713">
        <v>2</v>
      </c>
      <c r="M12" s="82">
        <v>18</v>
      </c>
      <c r="N12" s="714">
        <v>18000</v>
      </c>
      <c r="O12" s="719">
        <v>5</v>
      </c>
      <c r="P12" s="716">
        <f t="shared" si="3"/>
        <v>19440000</v>
      </c>
      <c r="Q12" s="718">
        <f t="shared" si="0"/>
        <v>421.2</v>
      </c>
    </row>
    <row r="13" spans="1:17" s="13" customFormat="1" ht="15.75" x14ac:dyDescent="0.25">
      <c r="A13" s="712" t="s">
        <v>62</v>
      </c>
      <c r="B13" s="713"/>
      <c r="C13" s="82">
        <v>42</v>
      </c>
      <c r="D13" s="714">
        <v>12575</v>
      </c>
      <c r="E13" s="82">
        <v>5</v>
      </c>
      <c r="F13" s="715">
        <f t="shared" si="1"/>
        <v>0</v>
      </c>
      <c r="G13" s="713"/>
      <c r="H13" s="82">
        <v>42</v>
      </c>
      <c r="I13" s="714">
        <v>12575</v>
      </c>
      <c r="J13" s="82">
        <v>5</v>
      </c>
      <c r="K13" s="715">
        <f t="shared" si="2"/>
        <v>0</v>
      </c>
      <c r="L13" s="713">
        <v>1</v>
      </c>
      <c r="M13" s="82">
        <v>18</v>
      </c>
      <c r="N13" s="714">
        <v>12575</v>
      </c>
      <c r="O13" s="719">
        <v>5</v>
      </c>
      <c r="P13" s="716">
        <f t="shared" si="3"/>
        <v>6790500</v>
      </c>
      <c r="Q13" s="718">
        <f t="shared" si="0"/>
        <v>67.900000000000006</v>
      </c>
    </row>
    <row r="14" spans="1:17" s="13" customFormat="1" ht="15.75" x14ac:dyDescent="0.25">
      <c r="A14" s="712" t="s">
        <v>750</v>
      </c>
      <c r="B14" s="713"/>
      <c r="C14" s="82">
        <v>42</v>
      </c>
      <c r="D14" s="714">
        <v>20000</v>
      </c>
      <c r="E14" s="82">
        <v>5</v>
      </c>
      <c r="F14" s="715">
        <f t="shared" si="1"/>
        <v>0</v>
      </c>
      <c r="G14" s="713">
        <v>5</v>
      </c>
      <c r="H14" s="82">
        <v>42</v>
      </c>
      <c r="I14" s="714">
        <v>20000</v>
      </c>
      <c r="J14" s="82">
        <v>5</v>
      </c>
      <c r="K14" s="715">
        <f t="shared" si="2"/>
        <v>126000000</v>
      </c>
      <c r="L14" s="713">
        <v>4</v>
      </c>
      <c r="M14" s="82">
        <v>18</v>
      </c>
      <c r="N14" s="714">
        <v>20000</v>
      </c>
      <c r="O14" s="719">
        <v>5</v>
      </c>
      <c r="P14" s="716">
        <f t="shared" si="3"/>
        <v>43200000</v>
      </c>
      <c r="Q14" s="718">
        <f t="shared" si="0"/>
        <v>1692</v>
      </c>
    </row>
    <row r="15" spans="1:17" s="13" customFormat="1" ht="15.75" x14ac:dyDescent="0.25">
      <c r="A15" s="712" t="s">
        <v>64</v>
      </c>
      <c r="B15" s="713">
        <v>1</v>
      </c>
      <c r="C15" s="82">
        <v>42</v>
      </c>
      <c r="D15" s="714">
        <v>16570</v>
      </c>
      <c r="E15" s="82">
        <v>5</v>
      </c>
      <c r="F15" s="715">
        <f t="shared" si="1"/>
        <v>17398500</v>
      </c>
      <c r="G15" s="713">
        <v>4</v>
      </c>
      <c r="H15" s="82">
        <v>42</v>
      </c>
      <c r="I15" s="714">
        <v>16570</v>
      </c>
      <c r="J15" s="82">
        <v>5</v>
      </c>
      <c r="K15" s="715">
        <f t="shared" si="2"/>
        <v>83512800</v>
      </c>
      <c r="L15" s="713">
        <v>12</v>
      </c>
      <c r="M15" s="82">
        <v>18</v>
      </c>
      <c r="N15" s="714">
        <v>16570</v>
      </c>
      <c r="O15" s="719">
        <v>5</v>
      </c>
      <c r="P15" s="716">
        <f t="shared" si="3"/>
        <v>107373600</v>
      </c>
      <c r="Q15" s="718">
        <f t="shared" si="0"/>
        <v>2082.8000000000002</v>
      </c>
    </row>
    <row r="16" spans="1:17" ht="13.5" thickBot="1" x14ac:dyDescent="0.25">
      <c r="A16" s="705" t="s">
        <v>7</v>
      </c>
      <c r="B16" s="706"/>
      <c r="C16" s="707"/>
      <c r="D16" s="707"/>
      <c r="E16" s="707"/>
      <c r="F16" s="708">
        <f>SUM(F7:F15)</f>
        <v>101174904.30348</v>
      </c>
      <c r="G16" s="709"/>
      <c r="H16" s="707"/>
      <c r="I16" s="707"/>
      <c r="J16" s="707"/>
      <c r="K16" s="708">
        <f>SUM(K7:K15)</f>
        <v>537365904.30348003</v>
      </c>
      <c r="L16" s="709"/>
      <c r="M16" s="707"/>
      <c r="N16" s="707"/>
      <c r="O16" s="707"/>
      <c r="P16" s="710">
        <f>SUM(P7:P15)</f>
        <v>913954071.69033897</v>
      </c>
      <c r="Q16" s="711">
        <f>SUM(Q7:Q15)</f>
        <v>15524.800000000003</v>
      </c>
    </row>
  </sheetData>
  <mergeCells count="7">
    <mergeCell ref="A1:Q1"/>
    <mergeCell ref="A2:Q2"/>
    <mergeCell ref="A4:A5"/>
    <mergeCell ref="B4:F4"/>
    <mergeCell ref="G4:K4"/>
    <mergeCell ref="L4:P4"/>
    <mergeCell ref="Q4:Q5"/>
  </mergeCells>
  <pageMargins left="0.7" right="0.7" top="0.75" bottom="0.75" header="0.3" footer="0.3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  <pageSetUpPr fitToPage="1"/>
  </sheetPr>
  <dimension ref="A1:AF21"/>
  <sheetViews>
    <sheetView zoomScaleNormal="100" zoomScaleSheetLayoutView="87" workbookViewId="0">
      <selection activeCell="A6" sqref="A6:A9"/>
    </sheetView>
  </sheetViews>
  <sheetFormatPr defaultRowHeight="15.75" x14ac:dyDescent="0.25"/>
  <cols>
    <col min="1" max="1" width="35.42578125" style="85" bestFit="1" customWidth="1"/>
    <col min="2" max="2" width="21.140625" style="85" hidden="1" customWidth="1"/>
    <col min="3" max="3" width="20" style="85" hidden="1" customWidth="1"/>
    <col min="4" max="4" width="6.85546875" style="85" hidden="1" customWidth="1"/>
    <col min="5" max="5" width="7.28515625" style="85" hidden="1" customWidth="1"/>
    <col min="6" max="6" width="6.5703125" style="85" hidden="1" customWidth="1"/>
    <col min="7" max="7" width="15.85546875" style="85" hidden="1" customWidth="1"/>
    <col min="8" max="8" width="7.28515625" style="85" hidden="1" customWidth="1"/>
    <col min="9" max="9" width="6.5703125" style="85" hidden="1" customWidth="1"/>
    <col min="10" max="10" width="12" style="85" hidden="1" customWidth="1"/>
    <col min="11" max="11" width="25.85546875" style="85" customWidth="1"/>
    <col min="12" max="12" width="15.140625" style="85" customWidth="1"/>
    <col min="13" max="13" width="17.28515625" style="85" bestFit="1" customWidth="1"/>
    <col min="14" max="14" width="14.5703125" style="85" customWidth="1"/>
    <col min="15" max="15" width="25.85546875" style="85" customWidth="1"/>
    <col min="16" max="16" width="19.85546875" style="85" hidden="1" customWidth="1"/>
    <col min="17" max="17" width="24" style="85" hidden="1" customWidth="1"/>
    <col min="18" max="19" width="12.42578125" style="85" hidden="1" customWidth="1"/>
    <col min="20" max="20" width="14.42578125" style="85" hidden="1" customWidth="1"/>
    <col min="21" max="21" width="14.5703125" style="85" customWidth="1"/>
    <col min="22" max="16384" width="9.140625" style="85"/>
  </cols>
  <sheetData>
    <row r="1" spans="1:32" x14ac:dyDescent="0.25">
      <c r="A1" s="866" t="s">
        <v>49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88.5" customHeight="1" x14ac:dyDescent="0.25">
      <c r="A2" s="791" t="s">
        <v>219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4" spans="1:32" ht="18.75" x14ac:dyDescent="0.3">
      <c r="A4" s="873" t="s">
        <v>240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</row>
    <row r="5" spans="1:32" x14ac:dyDescent="0.25">
      <c r="Q5" s="91" t="s">
        <v>15</v>
      </c>
      <c r="R5" s="85">
        <v>5201</v>
      </c>
      <c r="S5" s="85">
        <v>5204</v>
      </c>
      <c r="T5" s="85">
        <v>5220</v>
      </c>
    </row>
    <row r="6" spans="1:32" s="86" customFormat="1" ht="47.25" customHeight="1" x14ac:dyDescent="0.2">
      <c r="A6" s="867" t="s">
        <v>188</v>
      </c>
      <c r="B6" s="875" t="s">
        <v>207</v>
      </c>
      <c r="C6" s="876"/>
      <c r="D6" s="877"/>
      <c r="E6" s="870" t="s">
        <v>208</v>
      </c>
      <c r="F6" s="871"/>
      <c r="G6" s="871"/>
      <c r="H6" s="871"/>
      <c r="I6" s="871"/>
      <c r="J6" s="872"/>
      <c r="K6" s="813" t="s">
        <v>209</v>
      </c>
      <c r="L6" s="813" t="s">
        <v>249</v>
      </c>
      <c r="M6" s="813" t="s">
        <v>246</v>
      </c>
      <c r="N6" s="813" t="s">
        <v>247</v>
      </c>
      <c r="O6" s="813" t="s">
        <v>248</v>
      </c>
      <c r="P6" s="813" t="s">
        <v>210</v>
      </c>
      <c r="Q6" s="813" t="s">
        <v>211</v>
      </c>
      <c r="R6" s="813" t="s">
        <v>239</v>
      </c>
      <c r="S6" s="813" t="s">
        <v>238</v>
      </c>
      <c r="T6" s="874" t="s">
        <v>77</v>
      </c>
    </row>
    <row r="7" spans="1:32" s="86" customFormat="1" ht="35.25" hidden="1" customHeight="1" x14ac:dyDescent="0.2">
      <c r="A7" s="868"/>
      <c r="B7" s="878"/>
      <c r="C7" s="879"/>
      <c r="D7" s="880"/>
      <c r="E7" s="870" t="s">
        <v>212</v>
      </c>
      <c r="F7" s="871"/>
      <c r="G7" s="872"/>
      <c r="H7" s="870" t="s">
        <v>213</v>
      </c>
      <c r="I7" s="871"/>
      <c r="J7" s="872"/>
      <c r="K7" s="813"/>
      <c r="L7" s="813"/>
      <c r="M7" s="813"/>
      <c r="N7" s="813"/>
      <c r="O7" s="813"/>
      <c r="P7" s="813"/>
      <c r="Q7" s="813"/>
      <c r="R7" s="813"/>
      <c r="S7" s="813"/>
      <c r="T7" s="874"/>
    </row>
    <row r="8" spans="1:32" s="86" customFormat="1" ht="48" customHeight="1" x14ac:dyDescent="0.2">
      <c r="A8" s="868"/>
      <c r="B8" s="881"/>
      <c r="C8" s="882"/>
      <c r="D8" s="883"/>
      <c r="E8" s="870" t="s">
        <v>212</v>
      </c>
      <c r="F8" s="871"/>
      <c r="G8" s="872"/>
      <c r="H8" s="870" t="s">
        <v>213</v>
      </c>
      <c r="I8" s="871"/>
      <c r="J8" s="872"/>
      <c r="K8" s="813"/>
      <c r="L8" s="813"/>
      <c r="M8" s="813"/>
      <c r="N8" s="813"/>
      <c r="O8" s="813"/>
      <c r="P8" s="813"/>
      <c r="Q8" s="813"/>
      <c r="R8" s="813"/>
      <c r="S8" s="813"/>
      <c r="T8" s="874"/>
    </row>
    <row r="9" spans="1:32" s="86" customFormat="1" ht="72.75" customHeight="1" x14ac:dyDescent="0.2">
      <c r="A9" s="869"/>
      <c r="B9" s="28" t="s">
        <v>212</v>
      </c>
      <c r="C9" s="28" t="s">
        <v>213</v>
      </c>
      <c r="D9" s="28" t="s">
        <v>4</v>
      </c>
      <c r="E9" s="27" t="s">
        <v>76</v>
      </c>
      <c r="F9" s="27" t="s">
        <v>77</v>
      </c>
      <c r="G9" s="28" t="s">
        <v>214</v>
      </c>
      <c r="H9" s="27" t="s">
        <v>76</v>
      </c>
      <c r="I9" s="27" t="s">
        <v>77</v>
      </c>
      <c r="J9" s="28" t="s">
        <v>215</v>
      </c>
      <c r="K9" s="813"/>
      <c r="L9" s="813"/>
      <c r="M9" s="813"/>
      <c r="N9" s="813"/>
      <c r="O9" s="813"/>
      <c r="P9" s="813"/>
      <c r="Q9" s="813"/>
      <c r="R9" s="813"/>
      <c r="S9" s="813"/>
      <c r="T9" s="874"/>
    </row>
    <row r="10" spans="1:32" x14ac:dyDescent="0.25">
      <c r="A10" s="26" t="s">
        <v>3</v>
      </c>
      <c r="B10" s="87">
        <v>5257</v>
      </c>
      <c r="C10" s="87">
        <v>928</v>
      </c>
      <c r="D10" s="87">
        <f t="shared" ref="D10:D21" si="0">B10+C10</f>
        <v>6185</v>
      </c>
      <c r="E10" s="88">
        <v>120.26</v>
      </c>
      <c r="F10" s="88">
        <v>7.83</v>
      </c>
      <c r="G10" s="88">
        <f>E10+F10</f>
        <v>128.09</v>
      </c>
      <c r="H10" s="88">
        <v>177.99</v>
      </c>
      <c r="I10" s="88">
        <v>8.26</v>
      </c>
      <c r="J10" s="88">
        <f>H10+I10</f>
        <v>186.25</v>
      </c>
      <c r="K10" s="138">
        <v>841210.1</v>
      </c>
      <c r="L10" s="141">
        <v>867437</v>
      </c>
      <c r="M10" s="141">
        <v>867437</v>
      </c>
      <c r="N10" s="139">
        <f>K10-M10</f>
        <v>-26226.900000000023</v>
      </c>
      <c r="O10" s="138">
        <f>K10-L10</f>
        <v>-26226.900000000023</v>
      </c>
      <c r="P10" s="92">
        <v>887200.1</v>
      </c>
      <c r="Q10" s="92">
        <f>P10</f>
        <v>887200.1</v>
      </c>
      <c r="R10" s="131">
        <f t="shared" ref="R10:R18" si="1">K10-S10-T10</f>
        <v>608588.5</v>
      </c>
      <c r="S10" s="131">
        <v>183794</v>
      </c>
      <c r="T10" s="131">
        <v>48827.6</v>
      </c>
    </row>
    <row r="11" spans="1:32" x14ac:dyDescent="0.25">
      <c r="A11" s="89" t="s">
        <v>216</v>
      </c>
      <c r="B11" s="87">
        <v>519</v>
      </c>
      <c r="C11" s="87"/>
      <c r="D11" s="87">
        <f t="shared" si="0"/>
        <v>519</v>
      </c>
      <c r="E11" s="88">
        <v>166.22</v>
      </c>
      <c r="F11" s="88">
        <v>9.0500000000000007</v>
      </c>
      <c r="G11" s="88">
        <f t="shared" ref="G11:G18" si="2">E11+F11</f>
        <v>175.27</v>
      </c>
      <c r="H11" s="88"/>
      <c r="I11" s="88"/>
      <c r="J11" s="88"/>
      <c r="K11" s="138">
        <v>90965.1</v>
      </c>
      <c r="L11" s="141">
        <v>93544</v>
      </c>
      <c r="M11" s="141">
        <v>93531.6</v>
      </c>
      <c r="N11" s="139">
        <f t="shared" ref="N11:N19" si="3">K11-M11</f>
        <v>-2566.5</v>
      </c>
      <c r="O11" s="138">
        <f t="shared" ref="O11:O19" si="4">K11-L11</f>
        <v>-2578.8999999999942</v>
      </c>
      <c r="P11" s="92">
        <v>95896.5</v>
      </c>
      <c r="Q11" s="92">
        <f t="shared" ref="Q11:Q18" si="5">P11</f>
        <v>95896.5</v>
      </c>
      <c r="R11" s="132">
        <f t="shared" si="1"/>
        <v>66258.100000000006</v>
      </c>
      <c r="S11" s="131">
        <v>20010</v>
      </c>
      <c r="T11" s="131">
        <v>4697</v>
      </c>
    </row>
    <row r="12" spans="1:32" x14ac:dyDescent="0.25">
      <c r="A12" s="7" t="s">
        <v>55</v>
      </c>
      <c r="B12" s="87">
        <v>354</v>
      </c>
      <c r="C12" s="87"/>
      <c r="D12" s="87">
        <f t="shared" si="0"/>
        <v>354</v>
      </c>
      <c r="E12" s="88">
        <v>166.22</v>
      </c>
      <c r="F12" s="88">
        <v>9.0500000000000007</v>
      </c>
      <c r="G12" s="88">
        <f t="shared" si="2"/>
        <v>175.27</v>
      </c>
      <c r="H12" s="88"/>
      <c r="I12" s="88"/>
      <c r="J12" s="88"/>
      <c r="K12" s="138">
        <v>62045.599999999999</v>
      </c>
      <c r="L12" s="141">
        <v>56320</v>
      </c>
      <c r="M12" s="141">
        <v>56320</v>
      </c>
      <c r="N12" s="139">
        <f t="shared" si="3"/>
        <v>5725.5999999999985</v>
      </c>
      <c r="O12" s="138">
        <f t="shared" si="4"/>
        <v>5725.5999999999985</v>
      </c>
      <c r="P12" s="92">
        <v>65409.2</v>
      </c>
      <c r="Q12" s="92">
        <f t="shared" si="5"/>
        <v>65409.2</v>
      </c>
      <c r="R12" s="131">
        <f t="shared" si="1"/>
        <v>45193.9</v>
      </c>
      <c r="S12" s="131">
        <v>13648</v>
      </c>
      <c r="T12" s="131">
        <f>(B12*F12)+(C12*I12)</f>
        <v>3203.7000000000003</v>
      </c>
    </row>
    <row r="13" spans="1:32" x14ac:dyDescent="0.25">
      <c r="A13" s="89" t="s">
        <v>60</v>
      </c>
      <c r="B13" s="87">
        <v>159</v>
      </c>
      <c r="C13" s="87"/>
      <c r="D13" s="87">
        <f t="shared" si="0"/>
        <v>159</v>
      </c>
      <c r="E13" s="88">
        <v>179.52</v>
      </c>
      <c r="F13" s="88">
        <v>10.06</v>
      </c>
      <c r="G13" s="88">
        <f t="shared" si="2"/>
        <v>189.58</v>
      </c>
      <c r="H13" s="88"/>
      <c r="I13" s="88"/>
      <c r="J13" s="88"/>
      <c r="K13" s="138">
        <v>30143.200000000001</v>
      </c>
      <c r="L13" s="141">
        <v>22654.6</v>
      </c>
      <c r="M13" s="141">
        <v>22654.6</v>
      </c>
      <c r="N13" s="139">
        <f t="shared" si="3"/>
        <v>7488.6000000000022</v>
      </c>
      <c r="O13" s="138">
        <f t="shared" si="4"/>
        <v>7488.6000000000022</v>
      </c>
      <c r="P13" s="92">
        <v>31777.3</v>
      </c>
      <c r="Q13" s="92">
        <f t="shared" si="5"/>
        <v>31777.3</v>
      </c>
      <c r="R13" s="131">
        <f t="shared" si="1"/>
        <v>21924.2</v>
      </c>
      <c r="S13" s="131">
        <v>6620</v>
      </c>
      <c r="T13" s="131">
        <v>1599</v>
      </c>
    </row>
    <row r="14" spans="1:32" x14ac:dyDescent="0.25">
      <c r="A14" s="89" t="s">
        <v>57</v>
      </c>
      <c r="B14" s="87">
        <v>154</v>
      </c>
      <c r="C14" s="87"/>
      <c r="D14" s="87">
        <f t="shared" si="0"/>
        <v>154</v>
      </c>
      <c r="E14" s="88">
        <v>166.22</v>
      </c>
      <c r="F14" s="88">
        <v>9.0500000000000007</v>
      </c>
      <c r="G14" s="88">
        <f t="shared" si="2"/>
        <v>175.27</v>
      </c>
      <c r="H14" s="88"/>
      <c r="I14" s="88"/>
      <c r="J14" s="88"/>
      <c r="K14" s="138">
        <v>26991.599999999999</v>
      </c>
      <c r="L14" s="141">
        <v>33895.800000000003</v>
      </c>
      <c r="M14" s="141">
        <v>33895.800000000003</v>
      </c>
      <c r="N14" s="139">
        <f t="shared" si="3"/>
        <v>-6904.2000000000044</v>
      </c>
      <c r="O14" s="138">
        <f t="shared" si="4"/>
        <v>-6904.2000000000044</v>
      </c>
      <c r="P14" s="92">
        <v>28454.9</v>
      </c>
      <c r="Q14" s="92">
        <f t="shared" si="5"/>
        <v>28454.9</v>
      </c>
      <c r="R14" s="131">
        <f t="shared" si="1"/>
        <v>19660.899999999998</v>
      </c>
      <c r="S14" s="131">
        <v>5937</v>
      </c>
      <c r="T14" s="131">
        <f>(B14*F14)+(C14*I14)</f>
        <v>1393.7</v>
      </c>
    </row>
    <row r="15" spans="1:32" x14ac:dyDescent="0.25">
      <c r="A15" s="89" t="s">
        <v>217</v>
      </c>
      <c r="B15" s="87">
        <v>347</v>
      </c>
      <c r="C15" s="87"/>
      <c r="D15" s="87">
        <f t="shared" si="0"/>
        <v>347</v>
      </c>
      <c r="E15" s="88">
        <v>166.22</v>
      </c>
      <c r="F15" s="88">
        <v>9.0500000000000007</v>
      </c>
      <c r="G15" s="88">
        <f t="shared" si="2"/>
        <v>175.27</v>
      </c>
      <c r="H15" s="88"/>
      <c r="I15" s="88"/>
      <c r="J15" s="88"/>
      <c r="K15" s="138">
        <v>60818.7</v>
      </c>
      <c r="L15" s="141">
        <v>56152.3</v>
      </c>
      <c r="M15" s="141">
        <v>56152.3</v>
      </c>
      <c r="N15" s="139">
        <f t="shared" si="3"/>
        <v>4666.3999999999942</v>
      </c>
      <c r="O15" s="138">
        <f t="shared" si="4"/>
        <v>4666.3999999999942</v>
      </c>
      <c r="P15" s="92">
        <v>64115.8</v>
      </c>
      <c r="Q15" s="92">
        <f t="shared" si="5"/>
        <v>64115.8</v>
      </c>
      <c r="R15" s="131">
        <f t="shared" si="1"/>
        <v>44300.399999999994</v>
      </c>
      <c r="S15" s="131">
        <v>13378</v>
      </c>
      <c r="T15" s="132">
        <v>3140.3</v>
      </c>
    </row>
    <row r="16" spans="1:32" x14ac:dyDescent="0.25">
      <c r="A16" s="89" t="s">
        <v>218</v>
      </c>
      <c r="B16" s="87">
        <v>207</v>
      </c>
      <c r="C16" s="87"/>
      <c r="D16" s="87">
        <f t="shared" si="0"/>
        <v>207</v>
      </c>
      <c r="E16" s="88">
        <v>166.22</v>
      </c>
      <c r="F16" s="88">
        <v>9.0500000000000007</v>
      </c>
      <c r="G16" s="88">
        <f t="shared" si="2"/>
        <v>175.27</v>
      </c>
      <c r="H16" s="88"/>
      <c r="I16" s="88"/>
      <c r="J16" s="88"/>
      <c r="K16" s="138">
        <v>36280.9</v>
      </c>
      <c r="L16" s="141">
        <v>48350.400000000001</v>
      </c>
      <c r="M16" s="141">
        <v>48350.400000000001</v>
      </c>
      <c r="N16" s="139">
        <f t="shared" si="3"/>
        <v>-12069.5</v>
      </c>
      <c r="O16" s="138">
        <f t="shared" si="4"/>
        <v>-12069.5</v>
      </c>
      <c r="P16" s="92">
        <v>38247.800000000003</v>
      </c>
      <c r="Q16" s="92">
        <f t="shared" si="5"/>
        <v>38247.800000000003</v>
      </c>
      <c r="R16" s="131">
        <f t="shared" si="1"/>
        <v>26427.600000000002</v>
      </c>
      <c r="S16" s="131">
        <v>7980</v>
      </c>
      <c r="T16" s="132">
        <v>1873.3</v>
      </c>
    </row>
    <row r="17" spans="1:20" x14ac:dyDescent="0.25">
      <c r="A17" s="89" t="s">
        <v>63</v>
      </c>
      <c r="B17" s="87">
        <v>441</v>
      </c>
      <c r="C17" s="87"/>
      <c r="D17" s="87">
        <f t="shared" si="0"/>
        <v>441</v>
      </c>
      <c r="E17" s="88">
        <v>166.22</v>
      </c>
      <c r="F17" s="88">
        <v>9.0500000000000007</v>
      </c>
      <c r="G17" s="88">
        <f t="shared" si="2"/>
        <v>175.27</v>
      </c>
      <c r="H17" s="88"/>
      <c r="I17" s="88"/>
      <c r="J17" s="88"/>
      <c r="K17" s="138">
        <v>77294.100000000006</v>
      </c>
      <c r="L17" s="141">
        <v>55487.1</v>
      </c>
      <c r="M17" s="141">
        <v>55477.9</v>
      </c>
      <c r="N17" s="139">
        <f t="shared" si="3"/>
        <v>21816.200000000004</v>
      </c>
      <c r="O17" s="138">
        <f t="shared" si="4"/>
        <v>21807.000000000007</v>
      </c>
      <c r="P17" s="92">
        <v>81484.399999999994</v>
      </c>
      <c r="Q17" s="92">
        <f t="shared" si="5"/>
        <v>81484.399999999994</v>
      </c>
      <c r="R17" s="132">
        <f t="shared" si="1"/>
        <v>56301.000000000007</v>
      </c>
      <c r="S17" s="131">
        <v>17002</v>
      </c>
      <c r="T17" s="131">
        <v>3991.1</v>
      </c>
    </row>
    <row r="18" spans="1:20" x14ac:dyDescent="0.25">
      <c r="A18" s="89" t="s">
        <v>64</v>
      </c>
      <c r="B18" s="87">
        <v>486</v>
      </c>
      <c r="C18" s="87"/>
      <c r="D18" s="87">
        <f t="shared" si="0"/>
        <v>486</v>
      </c>
      <c r="E18" s="88">
        <v>166.22</v>
      </c>
      <c r="F18" s="88">
        <v>9.0500000000000007</v>
      </c>
      <c r="G18" s="88">
        <f t="shared" si="2"/>
        <v>175.27</v>
      </c>
      <c r="H18" s="88"/>
      <c r="I18" s="88"/>
      <c r="J18" s="88"/>
      <c r="K18" s="138">
        <v>85181.2</v>
      </c>
      <c r="L18" s="141">
        <v>85715.3</v>
      </c>
      <c r="M18" s="141">
        <v>85717.2</v>
      </c>
      <c r="N18" s="139">
        <f t="shared" si="3"/>
        <v>-536</v>
      </c>
      <c r="O18" s="138">
        <f t="shared" si="4"/>
        <v>-534.10000000000582</v>
      </c>
      <c r="P18" s="92">
        <v>89799.1</v>
      </c>
      <c r="Q18" s="92">
        <f t="shared" si="5"/>
        <v>89799.1</v>
      </c>
      <c r="R18" s="131">
        <f t="shared" si="1"/>
        <v>62045.899999999994</v>
      </c>
      <c r="S18" s="131">
        <v>18737</v>
      </c>
      <c r="T18" s="131">
        <f>(B18*F18)+(C18*I18)</f>
        <v>4398.3</v>
      </c>
    </row>
    <row r="19" spans="1:20" x14ac:dyDescent="0.25">
      <c r="A19" s="89"/>
      <c r="B19" s="136"/>
      <c r="C19" s="136"/>
      <c r="D19" s="136"/>
      <c r="E19" s="88"/>
      <c r="F19" s="88"/>
      <c r="G19" s="88"/>
      <c r="H19" s="88"/>
      <c r="I19" s="88"/>
      <c r="J19" s="88"/>
      <c r="K19" s="138">
        <f t="shared" ref="K19:T19" si="6">SUM(K10:K18)</f>
        <v>1310930.4999999998</v>
      </c>
      <c r="L19" s="138">
        <f t="shared" si="6"/>
        <v>1319556.5</v>
      </c>
      <c r="M19" s="138">
        <f t="shared" si="6"/>
        <v>1319536.7999999998</v>
      </c>
      <c r="N19" s="139">
        <f t="shared" si="3"/>
        <v>-8606.3000000000466</v>
      </c>
      <c r="O19" s="138">
        <f t="shared" si="4"/>
        <v>-8626.0000000002328</v>
      </c>
      <c r="P19" s="137">
        <f t="shared" si="6"/>
        <v>1382385.0999999999</v>
      </c>
      <c r="Q19" s="137">
        <f t="shared" si="6"/>
        <v>1382385.0999999999</v>
      </c>
      <c r="R19" s="137">
        <f t="shared" si="6"/>
        <v>950700.5</v>
      </c>
      <c r="S19" s="137">
        <f t="shared" si="6"/>
        <v>287106</v>
      </c>
      <c r="T19" s="137">
        <f t="shared" si="6"/>
        <v>73124</v>
      </c>
    </row>
    <row r="20" spans="1:20" hidden="1" x14ac:dyDescent="0.25">
      <c r="A20" s="89" t="s">
        <v>235</v>
      </c>
      <c r="B20" s="117"/>
      <c r="C20" s="117"/>
      <c r="D20" s="117"/>
      <c r="E20" s="88"/>
      <c r="F20" s="88"/>
      <c r="G20" s="88"/>
      <c r="H20" s="88"/>
      <c r="I20" s="88"/>
      <c r="J20" s="88"/>
      <c r="K20" s="140">
        <v>67754.2</v>
      </c>
      <c r="L20" s="140"/>
      <c r="M20" s="140"/>
      <c r="N20" s="138"/>
      <c r="O20" s="138"/>
      <c r="P20" s="116"/>
      <c r="Q20" s="116"/>
      <c r="R20" s="131">
        <f>K20-S20-T20</f>
        <v>52034.2</v>
      </c>
      <c r="S20" s="131">
        <v>15720</v>
      </c>
      <c r="T20" s="131"/>
    </row>
    <row r="21" spans="1:20" ht="18.75" hidden="1" customHeight="1" x14ac:dyDescent="0.25">
      <c r="A21" s="26" t="s">
        <v>4</v>
      </c>
      <c r="B21" s="87">
        <f>SUM(B10:B18)</f>
        <v>7924</v>
      </c>
      <c r="C21" s="87">
        <f>SUM(C10:C18)</f>
        <v>928</v>
      </c>
      <c r="D21" s="87">
        <f t="shared" si="0"/>
        <v>8852</v>
      </c>
      <c r="E21" s="88" t="s">
        <v>220</v>
      </c>
      <c r="F21" s="88" t="s">
        <v>220</v>
      </c>
      <c r="G21" s="88" t="s">
        <v>220</v>
      </c>
      <c r="H21" s="88" t="s">
        <v>220</v>
      </c>
      <c r="I21" s="88" t="s">
        <v>220</v>
      </c>
      <c r="J21" s="88" t="s">
        <v>220</v>
      </c>
      <c r="K21" s="92">
        <f>K19+K20</f>
        <v>1378684.6999999997</v>
      </c>
      <c r="L21" s="138"/>
      <c r="M21" s="138"/>
      <c r="N21" s="138"/>
      <c r="O21" s="138"/>
      <c r="P21" s="92">
        <f>SUM(P10:P18)</f>
        <v>1382385.0999999999</v>
      </c>
      <c r="Q21" s="92">
        <f>SUM(Q10:Q18)</f>
        <v>1382385.0999999999</v>
      </c>
      <c r="R21" s="119">
        <f>SUM(R10:R20)</f>
        <v>1953435.2</v>
      </c>
      <c r="S21" s="119">
        <f>SUM(S10:S20)</f>
        <v>589932</v>
      </c>
      <c r="T21" s="133">
        <f>SUM(T10:T20)</f>
        <v>146248</v>
      </c>
    </row>
  </sheetData>
  <mergeCells count="20">
    <mergeCell ref="M6:M9"/>
    <mergeCell ref="N6:N9"/>
    <mergeCell ref="O6:O9"/>
    <mergeCell ref="B6:D8"/>
    <mergeCell ref="A1:Q1"/>
    <mergeCell ref="A6:A9"/>
    <mergeCell ref="K6:K9"/>
    <mergeCell ref="E6:J6"/>
    <mergeCell ref="A4:T4"/>
    <mergeCell ref="A2:T2"/>
    <mergeCell ref="P6:P9"/>
    <mergeCell ref="Q6:Q9"/>
    <mergeCell ref="T6:T9"/>
    <mergeCell ref="R6:R9"/>
    <mergeCell ref="S6:S9"/>
    <mergeCell ref="E7:G7"/>
    <mergeCell ref="H7:J7"/>
    <mergeCell ref="E8:G8"/>
    <mergeCell ref="H8:J8"/>
    <mergeCell ref="L6:L9"/>
  </mergeCells>
  <printOptions horizontalCentered="1"/>
  <pageMargins left="0.19685039370078741" right="0.19685039370078741" top="0.6692913385826772" bottom="0.31496062992125984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X74"/>
  <sheetViews>
    <sheetView topLeftCell="A7" zoomScaleNormal="100" zoomScaleSheetLayoutView="69" workbookViewId="0">
      <selection activeCell="L11" sqref="L11"/>
    </sheetView>
  </sheetViews>
  <sheetFormatPr defaultRowHeight="15.75" x14ac:dyDescent="0.25"/>
  <cols>
    <col min="1" max="1" width="35.42578125" style="85" bestFit="1" customWidth="1"/>
    <col min="2" max="2" width="14" style="85" customWidth="1"/>
    <col min="3" max="3" width="13.7109375" style="85" customWidth="1"/>
    <col min="4" max="4" width="16.7109375" style="85" customWidth="1"/>
    <col min="5" max="5" width="8.85546875" style="85" customWidth="1"/>
    <col min="6" max="6" width="8.140625" style="85" customWidth="1"/>
    <col min="7" max="7" width="13.85546875" style="85" customWidth="1"/>
    <col min="8" max="8" width="9.85546875" style="85" customWidth="1"/>
    <col min="9" max="9" width="8.42578125" style="85" customWidth="1"/>
    <col min="10" max="10" width="12" style="85" bestFit="1" customWidth="1"/>
    <col min="11" max="11" width="7.42578125" style="85" customWidth="1"/>
    <col min="12" max="12" width="12.28515625" style="85" bestFit="1" customWidth="1"/>
    <col min="13" max="13" width="12" style="30" bestFit="1" customWidth="1"/>
    <col min="14" max="14" width="9.42578125" style="85" customWidth="1"/>
    <col min="15" max="15" width="9.5703125" style="85" customWidth="1"/>
    <col min="16" max="16" width="12" style="85" bestFit="1" customWidth="1"/>
    <col min="17" max="17" width="8.85546875" style="85" customWidth="1"/>
    <col min="18" max="18" width="11.42578125" style="85" customWidth="1"/>
    <col min="19" max="19" width="17.85546875" style="85" customWidth="1"/>
    <col min="20" max="20" width="13.42578125" style="85" customWidth="1"/>
    <col min="21" max="21" width="11.5703125" style="85" hidden="1" customWidth="1"/>
    <col min="22" max="22" width="0" style="85" hidden="1" customWidth="1"/>
    <col min="23" max="24" width="12.140625" style="85" hidden="1" customWidth="1"/>
    <col min="25" max="16384" width="9.140625" style="85"/>
  </cols>
  <sheetData>
    <row r="1" spans="1:19" x14ac:dyDescent="0.25">
      <c r="A1" s="866" t="s">
        <v>53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</row>
    <row r="2" spans="1:19" ht="46.5" customHeight="1" x14ac:dyDescent="0.25">
      <c r="A2" s="791" t="s">
        <v>229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</row>
    <row r="3" spans="1:19" x14ac:dyDescent="0.25">
      <c r="M3" s="85"/>
      <c r="N3" s="30"/>
    </row>
    <row r="4" spans="1:19" x14ac:dyDescent="0.25">
      <c r="M4" s="85"/>
      <c r="N4" s="30"/>
    </row>
    <row r="5" spans="1:19" x14ac:dyDescent="0.25">
      <c r="M5" s="85"/>
      <c r="N5" s="30"/>
    </row>
    <row r="6" spans="1:19" ht="51.75" customHeight="1" x14ac:dyDescent="0.25">
      <c r="A6" s="886" t="s">
        <v>188</v>
      </c>
      <c r="B6" s="813" t="s">
        <v>227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</row>
    <row r="7" spans="1:19" ht="64.5" customHeight="1" x14ac:dyDescent="0.25">
      <c r="A7" s="887"/>
      <c r="B7" s="813" t="s">
        <v>222</v>
      </c>
      <c r="C7" s="813"/>
      <c r="D7" s="813"/>
      <c r="E7" s="813" t="s">
        <v>223</v>
      </c>
      <c r="F7" s="813"/>
      <c r="G7" s="813"/>
      <c r="H7" s="813" t="s">
        <v>224</v>
      </c>
      <c r="I7" s="813"/>
      <c r="J7" s="813"/>
      <c r="K7" s="884" t="s">
        <v>225</v>
      </c>
      <c r="L7" s="884"/>
      <c r="M7" s="884"/>
      <c r="N7" s="884" t="s">
        <v>226</v>
      </c>
      <c r="O7" s="884"/>
      <c r="P7" s="884"/>
      <c r="Q7" s="813" t="s">
        <v>228</v>
      </c>
      <c r="R7" s="813"/>
      <c r="S7" s="813"/>
    </row>
    <row r="8" spans="1:19" ht="47.25" x14ac:dyDescent="0.25">
      <c r="A8" s="888"/>
      <c r="B8" s="220" t="s">
        <v>76</v>
      </c>
      <c r="C8" s="220" t="s">
        <v>77</v>
      </c>
      <c r="D8" s="219" t="s">
        <v>214</v>
      </c>
      <c r="E8" s="220" t="s">
        <v>76</v>
      </c>
      <c r="F8" s="220" t="s">
        <v>77</v>
      </c>
      <c r="G8" s="219" t="s">
        <v>214</v>
      </c>
      <c r="H8" s="220" t="s">
        <v>76</v>
      </c>
      <c r="I8" s="220" t="s">
        <v>77</v>
      </c>
      <c r="J8" s="219" t="s">
        <v>214</v>
      </c>
      <c r="K8" s="220" t="s">
        <v>76</v>
      </c>
      <c r="L8" s="220" t="s">
        <v>77</v>
      </c>
      <c r="M8" s="219" t="s">
        <v>214</v>
      </c>
      <c r="N8" s="220" t="s">
        <v>76</v>
      </c>
      <c r="O8" s="220" t="s">
        <v>77</v>
      </c>
      <c r="P8" s="219" t="s">
        <v>214</v>
      </c>
      <c r="Q8" s="220" t="s">
        <v>76</v>
      </c>
      <c r="R8" s="220" t="s">
        <v>77</v>
      </c>
      <c r="S8" s="219" t="s">
        <v>215</v>
      </c>
    </row>
    <row r="9" spans="1:19" x14ac:dyDescent="0.25">
      <c r="A9" s="29" t="s">
        <v>3</v>
      </c>
      <c r="B9" s="88">
        <v>95.84</v>
      </c>
      <c r="C9" s="88">
        <v>2.68</v>
      </c>
      <c r="D9" s="88">
        <f>B9+C9</f>
        <v>98.52000000000001</v>
      </c>
      <c r="E9" s="88">
        <v>98.17</v>
      </c>
      <c r="F9" s="88">
        <v>2.75</v>
      </c>
      <c r="G9" s="88">
        <f>E9+F9</f>
        <v>100.92</v>
      </c>
      <c r="H9" s="88">
        <v>109.74</v>
      </c>
      <c r="I9" s="88">
        <v>3.07</v>
      </c>
      <c r="J9" s="88">
        <f>H9+I9</f>
        <v>112.80999999999999</v>
      </c>
      <c r="K9" s="88">
        <v>74.319999999999993</v>
      </c>
      <c r="L9" s="88">
        <v>2.08</v>
      </c>
      <c r="M9" s="88">
        <f>K9+L9</f>
        <v>76.399999999999991</v>
      </c>
      <c r="N9" s="88">
        <v>397.6</v>
      </c>
      <c r="O9" s="88">
        <v>11.13</v>
      </c>
      <c r="P9" s="88">
        <f>N9+O9</f>
        <v>408.73</v>
      </c>
      <c r="Q9" s="88"/>
      <c r="R9" s="88"/>
      <c r="S9" s="88"/>
    </row>
    <row r="10" spans="1:19" x14ac:dyDescent="0.25">
      <c r="A10" s="90" t="s">
        <v>58</v>
      </c>
      <c r="B10" s="88">
        <v>121.17</v>
      </c>
      <c r="C10" s="88">
        <v>3.39</v>
      </c>
      <c r="D10" s="88">
        <f t="shared" ref="D10:D17" si="0">B10+C10</f>
        <v>124.56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x14ac:dyDescent="0.25">
      <c r="A11" s="93" t="s">
        <v>55</v>
      </c>
      <c r="B11" s="88">
        <v>121.17</v>
      </c>
      <c r="C11" s="88">
        <v>3.39</v>
      </c>
      <c r="D11" s="88">
        <f t="shared" si="0"/>
        <v>124.56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x14ac:dyDescent="0.25">
      <c r="A12" s="90" t="s">
        <v>60</v>
      </c>
      <c r="B12" s="88">
        <v>121.17</v>
      </c>
      <c r="C12" s="88">
        <v>3.39</v>
      </c>
      <c r="D12" s="88">
        <f t="shared" si="0"/>
        <v>124.56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>
        <v>171.34</v>
      </c>
      <c r="R12" s="88">
        <v>4.8</v>
      </c>
      <c r="S12" s="88">
        <f>Q12+R12</f>
        <v>176.14000000000001</v>
      </c>
    </row>
    <row r="13" spans="1:19" x14ac:dyDescent="0.25">
      <c r="A13" s="90" t="s">
        <v>57</v>
      </c>
      <c r="B13" s="88">
        <v>121.17</v>
      </c>
      <c r="C13" s="88">
        <v>3.39</v>
      </c>
      <c r="D13" s="88">
        <f t="shared" si="0"/>
        <v>124.56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x14ac:dyDescent="0.25">
      <c r="A14" s="90" t="s">
        <v>217</v>
      </c>
      <c r="B14" s="88">
        <v>121.17</v>
      </c>
      <c r="C14" s="88">
        <v>3.39</v>
      </c>
      <c r="D14" s="88">
        <f t="shared" si="0"/>
        <v>124.56</v>
      </c>
      <c r="E14" s="88">
        <v>171.26</v>
      </c>
      <c r="F14" s="88">
        <v>4.8</v>
      </c>
      <c r="G14" s="88">
        <f>E14+F14</f>
        <v>176.06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x14ac:dyDescent="0.25">
      <c r="A15" s="90" t="s">
        <v>62</v>
      </c>
      <c r="B15" s="88">
        <v>121.17</v>
      </c>
      <c r="C15" s="88">
        <v>3.39</v>
      </c>
      <c r="D15" s="88">
        <f t="shared" si="0"/>
        <v>124.56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x14ac:dyDescent="0.25">
      <c r="A16" s="90" t="s">
        <v>63</v>
      </c>
      <c r="B16" s="88">
        <v>121.17</v>
      </c>
      <c r="C16" s="88">
        <v>3.39</v>
      </c>
      <c r="D16" s="88">
        <f t="shared" si="0"/>
        <v>124.56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24" x14ac:dyDescent="0.25">
      <c r="A17" s="90" t="s">
        <v>64</v>
      </c>
      <c r="B17" s="88">
        <v>121.17</v>
      </c>
      <c r="C17" s="88">
        <v>3.39</v>
      </c>
      <c r="D17" s="88">
        <f t="shared" si="0"/>
        <v>124.56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24" x14ac:dyDescent="0.25">
      <c r="A18" s="26" t="s">
        <v>4</v>
      </c>
      <c r="B18" s="88" t="s">
        <v>220</v>
      </c>
      <c r="C18" s="88" t="s">
        <v>220</v>
      </c>
      <c r="D18" s="88" t="s">
        <v>220</v>
      </c>
      <c r="E18" s="88" t="s">
        <v>220</v>
      </c>
      <c r="F18" s="88" t="s">
        <v>220</v>
      </c>
      <c r="G18" s="88" t="s">
        <v>220</v>
      </c>
      <c r="H18" s="88" t="s">
        <v>220</v>
      </c>
      <c r="I18" s="88" t="s">
        <v>220</v>
      </c>
      <c r="J18" s="88" t="s">
        <v>220</v>
      </c>
      <c r="K18" s="88" t="s">
        <v>220</v>
      </c>
      <c r="L18" s="88" t="s">
        <v>220</v>
      </c>
      <c r="M18" s="88" t="s">
        <v>220</v>
      </c>
      <c r="N18" s="88" t="s">
        <v>220</v>
      </c>
      <c r="O18" s="88" t="s">
        <v>220</v>
      </c>
      <c r="P18" s="88" t="s">
        <v>220</v>
      </c>
      <c r="Q18" s="88" t="s">
        <v>220</v>
      </c>
      <c r="R18" s="88" t="s">
        <v>220</v>
      </c>
      <c r="S18" s="88" t="s">
        <v>220</v>
      </c>
    </row>
    <row r="19" spans="1:24" x14ac:dyDescent="0.25">
      <c r="M19" s="85"/>
      <c r="N19" s="30"/>
    </row>
    <row r="20" spans="1:24" x14ac:dyDescent="0.25">
      <c r="M20" s="85"/>
      <c r="N20" s="30"/>
    </row>
    <row r="21" spans="1:24" x14ac:dyDescent="0.25">
      <c r="A21" s="886" t="s">
        <v>188</v>
      </c>
      <c r="B21" s="874" t="s">
        <v>221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13" t="s">
        <v>209</v>
      </c>
      <c r="P21" s="813"/>
      <c r="Q21" s="890"/>
      <c r="R21" s="890"/>
      <c r="S21" s="890"/>
      <c r="T21" s="890"/>
      <c r="U21" s="894" t="s">
        <v>241</v>
      </c>
      <c r="V21" s="894"/>
      <c r="W21" s="894" t="s">
        <v>325</v>
      </c>
      <c r="X21" s="894" t="s">
        <v>324</v>
      </c>
    </row>
    <row r="22" spans="1:24" x14ac:dyDescent="0.25">
      <c r="A22" s="887"/>
      <c r="B22" s="874"/>
      <c r="C22" s="874"/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13"/>
      <c r="P22" s="813"/>
      <c r="Q22" s="890"/>
      <c r="R22" s="890"/>
      <c r="S22" s="890"/>
      <c r="T22" s="890"/>
      <c r="U22" s="894"/>
      <c r="V22" s="894"/>
      <c r="W22" s="894"/>
      <c r="X22" s="894"/>
    </row>
    <row r="23" spans="1:24" x14ac:dyDescent="0.25">
      <c r="A23" s="887"/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13"/>
      <c r="P23" s="813"/>
      <c r="Q23" s="890"/>
      <c r="R23" s="890"/>
      <c r="S23" s="890"/>
      <c r="T23" s="890"/>
      <c r="U23" s="894"/>
      <c r="V23" s="894"/>
      <c r="W23" s="894"/>
      <c r="X23" s="894"/>
    </row>
    <row r="24" spans="1:24" ht="63" x14ac:dyDescent="0.25">
      <c r="A24" s="888"/>
      <c r="B24" s="813" t="s">
        <v>222</v>
      </c>
      <c r="C24" s="813"/>
      <c r="D24" s="813" t="s">
        <v>223</v>
      </c>
      <c r="E24" s="813"/>
      <c r="F24" s="813" t="s">
        <v>224</v>
      </c>
      <c r="G24" s="813"/>
      <c r="H24" s="884" t="s">
        <v>225</v>
      </c>
      <c r="I24" s="884"/>
      <c r="J24" s="884" t="s">
        <v>226</v>
      </c>
      <c r="K24" s="884"/>
      <c r="L24" s="222" t="s">
        <v>228</v>
      </c>
      <c r="M24" s="222" t="s">
        <v>308</v>
      </c>
      <c r="N24" s="220" t="s">
        <v>4</v>
      </c>
      <c r="O24" s="813"/>
      <c r="P24" s="813"/>
      <c r="Q24" s="890"/>
      <c r="R24" s="890"/>
      <c r="S24" s="890"/>
      <c r="T24" s="890"/>
      <c r="U24" s="894"/>
      <c r="V24" s="894"/>
      <c r="W24" s="894"/>
      <c r="X24" s="894"/>
    </row>
    <row r="25" spans="1:24" x14ac:dyDescent="0.25">
      <c r="A25" s="29" t="s">
        <v>3</v>
      </c>
      <c r="B25" s="885">
        <v>2877</v>
      </c>
      <c r="C25" s="885"/>
      <c r="D25" s="885">
        <v>7110</v>
      </c>
      <c r="E25" s="885"/>
      <c r="F25" s="885">
        <v>552</v>
      </c>
      <c r="G25" s="885"/>
      <c r="H25" s="885">
        <v>363</v>
      </c>
      <c r="I25" s="885"/>
      <c r="J25" s="885">
        <v>108</v>
      </c>
      <c r="K25" s="885"/>
      <c r="L25" s="221"/>
      <c r="M25" s="221"/>
      <c r="N25" s="221">
        <f>SUM(B25:M25)</f>
        <v>11010</v>
      </c>
      <c r="O25" s="892">
        <v>1135169.6000000001</v>
      </c>
      <c r="P25" s="892"/>
      <c r="Q25" s="889"/>
      <c r="R25" s="889"/>
      <c r="S25" s="238"/>
      <c r="T25" s="239"/>
      <c r="U25" s="892">
        <f>O25-W25-X25</f>
        <v>850077.40000000014</v>
      </c>
      <c r="V25" s="892"/>
      <c r="W25" s="123">
        <f>ROUND((O25-X25)*0.299/1.299,1)</f>
        <v>254173.2</v>
      </c>
      <c r="X25" s="124">
        <v>30919</v>
      </c>
    </row>
    <row r="26" spans="1:24" x14ac:dyDescent="0.25">
      <c r="A26" s="90" t="s">
        <v>58</v>
      </c>
      <c r="B26" s="885">
        <v>815</v>
      </c>
      <c r="C26" s="885"/>
      <c r="D26" s="885"/>
      <c r="E26" s="885"/>
      <c r="F26" s="885"/>
      <c r="G26" s="885"/>
      <c r="H26" s="885"/>
      <c r="I26" s="885"/>
      <c r="J26" s="885"/>
      <c r="K26" s="885"/>
      <c r="L26" s="221"/>
      <c r="M26" s="221">
        <v>285</v>
      </c>
      <c r="N26" s="221">
        <f t="shared" ref="N26:N33" si="1">SUM(B26:M26)</f>
        <v>1100</v>
      </c>
      <c r="O26" s="892">
        <v>230918.8</v>
      </c>
      <c r="P26" s="892"/>
      <c r="Q26" s="889"/>
      <c r="R26" s="889"/>
      <c r="S26" s="238"/>
      <c r="T26" s="239"/>
      <c r="U26" s="892">
        <f t="shared" ref="U26:U33" si="2">O26-W26-X26</f>
        <v>171476.99999999997</v>
      </c>
      <c r="V26" s="892"/>
      <c r="W26" s="123">
        <f t="shared" ref="W26:W33" si="3">ROUND((O26-T26)*0.299/1.299,1)</f>
        <v>53152.2</v>
      </c>
      <c r="X26" s="124">
        <v>6289.6</v>
      </c>
    </row>
    <row r="27" spans="1:24" x14ac:dyDescent="0.25">
      <c r="A27" s="93" t="s">
        <v>55</v>
      </c>
      <c r="B27" s="885">
        <v>484</v>
      </c>
      <c r="C27" s="885"/>
      <c r="D27" s="885"/>
      <c r="E27" s="885"/>
      <c r="F27" s="885"/>
      <c r="G27" s="885"/>
      <c r="H27" s="885"/>
      <c r="I27" s="885"/>
      <c r="J27" s="885"/>
      <c r="K27" s="885"/>
      <c r="L27" s="221"/>
      <c r="M27" s="221">
        <v>134</v>
      </c>
      <c r="N27" s="221">
        <f t="shared" si="1"/>
        <v>618</v>
      </c>
      <c r="O27" s="892">
        <v>89054.5</v>
      </c>
      <c r="P27" s="892"/>
      <c r="Q27" s="889"/>
      <c r="R27" s="889"/>
      <c r="S27" s="238"/>
      <c r="T27" s="239"/>
      <c r="U27" s="892">
        <f t="shared" si="2"/>
        <v>66130.599999999991</v>
      </c>
      <c r="V27" s="892"/>
      <c r="W27" s="123">
        <f t="shared" si="3"/>
        <v>20498.3</v>
      </c>
      <c r="X27" s="124">
        <v>2425.6</v>
      </c>
    </row>
    <row r="28" spans="1:24" x14ac:dyDescent="0.25">
      <c r="A28" s="90" t="s">
        <v>60</v>
      </c>
      <c r="B28" s="891"/>
      <c r="C28" s="891"/>
      <c r="D28" s="891"/>
      <c r="E28" s="891"/>
      <c r="F28" s="891"/>
      <c r="G28" s="891"/>
      <c r="H28" s="891"/>
      <c r="I28" s="891"/>
      <c r="J28" s="891"/>
      <c r="K28" s="891"/>
      <c r="L28" s="223">
        <v>302</v>
      </c>
      <c r="M28" s="223">
        <v>29</v>
      </c>
      <c r="N28" s="221">
        <f t="shared" si="1"/>
        <v>331</v>
      </c>
      <c r="O28" s="892">
        <v>89587</v>
      </c>
      <c r="P28" s="892"/>
      <c r="Q28" s="889"/>
      <c r="R28" s="889"/>
      <c r="S28" s="238"/>
      <c r="T28" s="239"/>
      <c r="U28" s="892">
        <f t="shared" si="2"/>
        <v>66638.700000000012</v>
      </c>
      <c r="V28" s="892"/>
      <c r="W28" s="123">
        <f t="shared" si="3"/>
        <v>20620.900000000001</v>
      </c>
      <c r="X28" s="124">
        <v>2327.4</v>
      </c>
    </row>
    <row r="29" spans="1:24" x14ac:dyDescent="0.25">
      <c r="A29" s="90" t="s">
        <v>57</v>
      </c>
      <c r="B29" s="885">
        <v>228</v>
      </c>
      <c r="C29" s="885"/>
      <c r="D29" s="885"/>
      <c r="E29" s="885"/>
      <c r="F29" s="885"/>
      <c r="G29" s="885"/>
      <c r="H29" s="885"/>
      <c r="I29" s="885"/>
      <c r="J29" s="885"/>
      <c r="K29" s="885"/>
      <c r="L29" s="221"/>
      <c r="M29" s="221">
        <v>27</v>
      </c>
      <c r="N29" s="221">
        <f t="shared" si="1"/>
        <v>255</v>
      </c>
      <c r="O29" s="892">
        <v>45347.5</v>
      </c>
      <c r="P29" s="892"/>
      <c r="Q29" s="889"/>
      <c r="R29" s="889"/>
      <c r="S29" s="238"/>
      <c r="T29" s="239"/>
      <c r="U29" s="892">
        <f t="shared" si="2"/>
        <v>33674.300000000003</v>
      </c>
      <c r="V29" s="892"/>
      <c r="W29" s="123">
        <f t="shared" si="3"/>
        <v>10438</v>
      </c>
      <c r="X29" s="124">
        <v>1235.2</v>
      </c>
    </row>
    <row r="30" spans="1:24" x14ac:dyDescent="0.25">
      <c r="A30" s="90" t="s">
        <v>217</v>
      </c>
      <c r="B30" s="885">
        <v>658</v>
      </c>
      <c r="C30" s="885"/>
      <c r="D30" s="885">
        <v>65</v>
      </c>
      <c r="E30" s="885"/>
      <c r="F30" s="885"/>
      <c r="G30" s="885"/>
      <c r="H30" s="885"/>
      <c r="I30" s="885"/>
      <c r="J30" s="885"/>
      <c r="K30" s="885"/>
      <c r="L30" s="221"/>
      <c r="M30" s="221">
        <v>57</v>
      </c>
      <c r="N30" s="221">
        <f t="shared" si="1"/>
        <v>780</v>
      </c>
      <c r="O30" s="892">
        <v>109644.4</v>
      </c>
      <c r="P30" s="892"/>
      <c r="Q30" s="889"/>
      <c r="R30" s="889"/>
      <c r="S30" s="238"/>
      <c r="T30" s="239"/>
      <c r="U30" s="892">
        <f t="shared" si="2"/>
        <v>81420.399999999994</v>
      </c>
      <c r="V30" s="892"/>
      <c r="W30" s="123">
        <f t="shared" si="3"/>
        <v>25237.599999999999</v>
      </c>
      <c r="X30" s="124">
        <v>2986.4</v>
      </c>
    </row>
    <row r="31" spans="1:24" x14ac:dyDescent="0.25">
      <c r="A31" s="90" t="s">
        <v>62</v>
      </c>
      <c r="B31" s="885">
        <v>364</v>
      </c>
      <c r="C31" s="885"/>
      <c r="D31" s="885"/>
      <c r="E31" s="885"/>
      <c r="F31" s="885"/>
      <c r="G31" s="885"/>
      <c r="H31" s="885"/>
      <c r="I31" s="885"/>
      <c r="J31" s="885"/>
      <c r="K31" s="885"/>
      <c r="L31" s="221"/>
      <c r="M31" s="221">
        <v>77</v>
      </c>
      <c r="N31" s="221">
        <f t="shared" si="1"/>
        <v>441</v>
      </c>
      <c r="O31" s="892">
        <v>67561.3</v>
      </c>
      <c r="P31" s="892"/>
      <c r="Q31" s="889"/>
      <c r="R31" s="889"/>
      <c r="S31" s="238"/>
      <c r="T31" s="239"/>
      <c r="U31" s="892">
        <f t="shared" si="2"/>
        <v>50170.000000000007</v>
      </c>
      <c r="V31" s="892"/>
      <c r="W31" s="123">
        <f t="shared" si="3"/>
        <v>15551.1</v>
      </c>
      <c r="X31" s="124">
        <v>1840.2</v>
      </c>
    </row>
    <row r="32" spans="1:24" x14ac:dyDescent="0.25">
      <c r="A32" s="90" t="s">
        <v>63</v>
      </c>
      <c r="B32" s="885">
        <v>773</v>
      </c>
      <c r="C32" s="885"/>
      <c r="D32" s="885"/>
      <c r="E32" s="885"/>
      <c r="F32" s="885"/>
      <c r="G32" s="885"/>
      <c r="H32" s="885"/>
      <c r="I32" s="885"/>
      <c r="J32" s="885"/>
      <c r="K32" s="885"/>
      <c r="L32" s="221"/>
      <c r="M32" s="221">
        <v>37</v>
      </c>
      <c r="N32" s="221">
        <f t="shared" si="1"/>
        <v>810</v>
      </c>
      <c r="O32" s="892">
        <v>113548.2</v>
      </c>
      <c r="P32" s="892"/>
      <c r="Q32" s="889"/>
      <c r="R32" s="889"/>
      <c r="S32" s="238"/>
      <c r="T32" s="239"/>
      <c r="U32" s="892">
        <f t="shared" si="2"/>
        <v>84319.2</v>
      </c>
      <c r="V32" s="892"/>
      <c r="W32" s="123">
        <f t="shared" si="3"/>
        <v>26136.2</v>
      </c>
      <c r="X32" s="124">
        <v>3092.8</v>
      </c>
    </row>
    <row r="33" spans="1:24" x14ac:dyDescent="0.25">
      <c r="A33" s="90" t="s">
        <v>64</v>
      </c>
      <c r="B33" s="885">
        <v>908</v>
      </c>
      <c r="C33" s="885"/>
      <c r="D33" s="885"/>
      <c r="E33" s="885"/>
      <c r="F33" s="885"/>
      <c r="G33" s="885"/>
      <c r="H33" s="885"/>
      <c r="I33" s="885"/>
      <c r="J33" s="885"/>
      <c r="K33" s="885"/>
      <c r="L33" s="221"/>
      <c r="M33" s="221">
        <v>68</v>
      </c>
      <c r="N33" s="221">
        <f t="shared" si="1"/>
        <v>976</v>
      </c>
      <c r="O33" s="892">
        <v>140499.70000000001</v>
      </c>
      <c r="P33" s="892"/>
      <c r="Q33" s="889"/>
      <c r="R33" s="889"/>
      <c r="S33" s="238"/>
      <c r="T33" s="239"/>
      <c r="U33" s="892">
        <f t="shared" si="2"/>
        <v>104333.1</v>
      </c>
      <c r="V33" s="892"/>
      <c r="W33" s="123">
        <f t="shared" si="3"/>
        <v>32339.8</v>
      </c>
      <c r="X33" s="124">
        <v>3826.8</v>
      </c>
    </row>
    <row r="34" spans="1:24" x14ac:dyDescent="0.25">
      <c r="A34" s="26" t="s">
        <v>4</v>
      </c>
      <c r="B34" s="885">
        <f>SUM(B25:B33)</f>
        <v>7107</v>
      </c>
      <c r="C34" s="885"/>
      <c r="D34" s="885">
        <f>SUM(D25:D33)</f>
        <v>7175</v>
      </c>
      <c r="E34" s="885"/>
      <c r="F34" s="885">
        <f>SUM(F25:F33)</f>
        <v>552</v>
      </c>
      <c r="G34" s="885"/>
      <c r="H34" s="885">
        <f>SUM(H25:H33)</f>
        <v>363</v>
      </c>
      <c r="I34" s="885"/>
      <c r="J34" s="885">
        <f>SUM(J25:J33)</f>
        <v>108</v>
      </c>
      <c r="K34" s="885"/>
      <c r="L34" s="221">
        <f>SUM(L25:L33)</f>
        <v>302</v>
      </c>
      <c r="M34" s="221">
        <f>SUM(M25:M33)</f>
        <v>714</v>
      </c>
      <c r="N34" s="221">
        <f>SUM(N25:N33)</f>
        <v>16321</v>
      </c>
      <c r="O34" s="892">
        <f>SUM(O25:O33)</f>
        <v>2021331</v>
      </c>
      <c r="P34" s="892"/>
      <c r="Q34" s="889"/>
      <c r="R34" s="889"/>
      <c r="S34" s="238"/>
      <c r="T34" s="238"/>
      <c r="U34" s="892">
        <f>SUM(U25:V33)</f>
        <v>1508240.7000000002</v>
      </c>
      <c r="V34" s="892"/>
      <c r="W34" s="123">
        <f>SUM(W25:W33)</f>
        <v>458147.3</v>
      </c>
      <c r="X34" s="123">
        <f>SUM(X25:X33)</f>
        <v>54943</v>
      </c>
    </row>
    <row r="35" spans="1:24" x14ac:dyDescent="0.25">
      <c r="M35" s="85"/>
      <c r="N35" s="30"/>
    </row>
    <row r="36" spans="1:24" x14ac:dyDescent="0.25">
      <c r="M36" s="85"/>
      <c r="N36" s="30"/>
    </row>
    <row r="37" spans="1:24" ht="123.75" customHeight="1" x14ac:dyDescent="0.25">
      <c r="A37" s="893" t="s">
        <v>323</v>
      </c>
      <c r="B37" s="893"/>
      <c r="C37" s="893"/>
      <c r="D37" s="893"/>
      <c r="M37" s="85"/>
      <c r="N37" s="30"/>
    </row>
    <row r="38" spans="1:24" x14ac:dyDescent="0.25">
      <c r="A38" s="236"/>
      <c r="B38" s="236"/>
      <c r="C38" s="236"/>
      <c r="D38" s="236"/>
      <c r="M38" s="85"/>
      <c r="N38" s="30"/>
    </row>
    <row r="39" spans="1:24" ht="45" x14ac:dyDescent="0.25">
      <c r="A39" s="163" t="s">
        <v>309</v>
      </c>
      <c r="B39" s="163" t="s">
        <v>76</v>
      </c>
      <c r="C39" s="224" t="s">
        <v>77</v>
      </c>
      <c r="D39" s="163" t="s">
        <v>310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24" x14ac:dyDescent="0.25">
      <c r="A40" s="226" t="s">
        <v>58</v>
      </c>
      <c r="B40" s="227">
        <f>B42+B43+B44+B45+B46+B47+B48+B49</f>
        <v>125879.51999999999</v>
      </c>
      <c r="C40" s="227">
        <f>C42+C43+C44+C45+C46+C47+C48+C49</f>
        <v>3524.6265599999997</v>
      </c>
      <c r="D40" s="227">
        <f>B40+C40</f>
        <v>129404.14655999999</v>
      </c>
      <c r="M40" s="85"/>
      <c r="N40" s="30"/>
    </row>
    <row r="41" spans="1:24" x14ac:dyDescent="0.25">
      <c r="A41" s="228" t="s">
        <v>137</v>
      </c>
      <c r="B41" s="229"/>
      <c r="C41" s="229"/>
      <c r="D41" s="229"/>
      <c r="M41" s="85"/>
      <c r="N41" s="30"/>
    </row>
    <row r="42" spans="1:24" x14ac:dyDescent="0.25">
      <c r="A42" s="228" t="s">
        <v>101</v>
      </c>
      <c r="B42" s="230">
        <v>29205.8</v>
      </c>
      <c r="C42" s="230">
        <f>B42*2.8%</f>
        <v>817.76239999999984</v>
      </c>
      <c r="D42" s="231">
        <f t="shared" ref="D42:D49" si="4">C42+B42</f>
        <v>30023.562399999999</v>
      </c>
      <c r="M42" s="85"/>
      <c r="N42" s="30"/>
    </row>
    <row r="43" spans="1:24" x14ac:dyDescent="0.25">
      <c r="A43" s="228" t="s">
        <v>102</v>
      </c>
      <c r="B43" s="230">
        <v>20529.099999999999</v>
      </c>
      <c r="C43" s="230">
        <f t="shared" ref="C43:C49" si="5">B43*2.8%</f>
        <v>574.81479999999988</v>
      </c>
      <c r="D43" s="231">
        <f t="shared" si="4"/>
        <v>21103.914799999999</v>
      </c>
      <c r="M43" s="85"/>
      <c r="N43" s="30"/>
    </row>
    <row r="44" spans="1:24" x14ac:dyDescent="0.25">
      <c r="A44" s="228" t="s">
        <v>311</v>
      </c>
      <c r="B44" s="230">
        <v>25355.8</v>
      </c>
      <c r="C44" s="230">
        <f t="shared" si="5"/>
        <v>709.96239999999989</v>
      </c>
      <c r="D44" s="231">
        <f t="shared" si="4"/>
        <v>26065.7624</v>
      </c>
      <c r="M44" s="85"/>
      <c r="N44" s="30"/>
    </row>
    <row r="45" spans="1:24" x14ac:dyDescent="0.25">
      <c r="A45" s="228" t="s">
        <v>104</v>
      </c>
      <c r="B45" s="230">
        <v>12467.4</v>
      </c>
      <c r="C45" s="230">
        <f t="shared" si="5"/>
        <v>349.08719999999994</v>
      </c>
      <c r="D45" s="231">
        <f t="shared" si="4"/>
        <v>12816.4872</v>
      </c>
      <c r="M45" s="85"/>
      <c r="N45" s="30"/>
    </row>
    <row r="46" spans="1:24" ht="30" x14ac:dyDescent="0.25">
      <c r="A46" s="228" t="s">
        <v>312</v>
      </c>
      <c r="B46" s="230">
        <v>6033.52</v>
      </c>
      <c r="C46" s="230">
        <f t="shared" si="5"/>
        <v>168.93856</v>
      </c>
      <c r="D46" s="231">
        <f t="shared" si="4"/>
        <v>6202.45856</v>
      </c>
      <c r="M46" s="85"/>
      <c r="N46" s="30"/>
    </row>
    <row r="47" spans="1:24" x14ac:dyDescent="0.25">
      <c r="A47" s="228" t="s">
        <v>105</v>
      </c>
      <c r="B47" s="230">
        <v>14698.55</v>
      </c>
      <c r="C47" s="230">
        <f t="shared" si="5"/>
        <v>411.55939999999993</v>
      </c>
      <c r="D47" s="231">
        <f t="shared" si="4"/>
        <v>15110.109399999999</v>
      </c>
      <c r="M47" s="85"/>
      <c r="N47" s="30"/>
    </row>
    <row r="48" spans="1:24" x14ac:dyDescent="0.25">
      <c r="A48" s="228" t="s">
        <v>108</v>
      </c>
      <c r="B48" s="230">
        <v>1904.9</v>
      </c>
      <c r="C48" s="230">
        <f t="shared" si="5"/>
        <v>53.337199999999996</v>
      </c>
      <c r="D48" s="231">
        <f t="shared" si="4"/>
        <v>1958.2372</v>
      </c>
      <c r="M48" s="85"/>
      <c r="N48" s="30"/>
    </row>
    <row r="49" spans="1:14" ht="30" x14ac:dyDescent="0.25">
      <c r="A49" s="228" t="s">
        <v>313</v>
      </c>
      <c r="B49" s="230">
        <v>15684.45</v>
      </c>
      <c r="C49" s="230">
        <f t="shared" si="5"/>
        <v>439.16459999999995</v>
      </c>
      <c r="D49" s="231">
        <f t="shared" si="4"/>
        <v>16123.614600000001</v>
      </c>
      <c r="M49" s="85"/>
      <c r="N49" s="30"/>
    </row>
    <row r="50" spans="1:14" x14ac:dyDescent="0.25">
      <c r="A50" s="226" t="s">
        <v>55</v>
      </c>
      <c r="B50" s="232">
        <f>B52</f>
        <v>27984</v>
      </c>
      <c r="C50" s="232">
        <f>C52</f>
        <v>783.55</v>
      </c>
      <c r="D50" s="227">
        <f>B50+C50</f>
        <v>28767.55</v>
      </c>
      <c r="M50" s="85"/>
      <c r="N50" s="30"/>
    </row>
    <row r="51" spans="1:14" x14ac:dyDescent="0.25">
      <c r="A51" s="228" t="s">
        <v>137</v>
      </c>
      <c r="B51" s="232"/>
      <c r="C51" s="232"/>
      <c r="D51" s="232"/>
      <c r="M51" s="85"/>
      <c r="N51" s="30"/>
    </row>
    <row r="52" spans="1:14" x14ac:dyDescent="0.25">
      <c r="A52" s="228" t="s">
        <v>314</v>
      </c>
      <c r="B52" s="233">
        <v>27984</v>
      </c>
      <c r="C52" s="234">
        <v>783.55</v>
      </c>
      <c r="D52" s="231">
        <f>C52+B52</f>
        <v>28767.55</v>
      </c>
      <c r="M52" s="85"/>
      <c r="N52" s="30"/>
    </row>
    <row r="53" spans="1:14" ht="28.5" x14ac:dyDescent="0.25">
      <c r="A53" s="226" t="s">
        <v>60</v>
      </c>
      <c r="B53" s="232">
        <f>B55+B56+B57+B58</f>
        <v>31374.639999999999</v>
      </c>
      <c r="C53" s="232">
        <f>C55+C56+C57+C58</f>
        <v>878.48991999999998</v>
      </c>
      <c r="D53" s="227">
        <f>B53+C53</f>
        <v>32253.129919999999</v>
      </c>
      <c r="M53" s="85"/>
      <c r="N53" s="30"/>
    </row>
    <row r="54" spans="1:14" x14ac:dyDescent="0.25">
      <c r="A54" s="228" t="s">
        <v>137</v>
      </c>
      <c r="B54" s="232"/>
      <c r="C54" s="232"/>
      <c r="D54" s="232"/>
      <c r="M54" s="85"/>
      <c r="N54" s="30"/>
    </row>
    <row r="55" spans="1:14" ht="30" x14ac:dyDescent="0.25">
      <c r="A55" s="228" t="s">
        <v>315</v>
      </c>
      <c r="B55" s="229">
        <v>10600.38</v>
      </c>
      <c r="C55" s="229">
        <f>B55*2.8%</f>
        <v>296.81063999999992</v>
      </c>
      <c r="D55" s="231">
        <f>C55+B55</f>
        <v>10897.190639999999</v>
      </c>
      <c r="M55" s="85"/>
      <c r="N55" s="30"/>
    </row>
    <row r="56" spans="1:14" ht="30" x14ac:dyDescent="0.25">
      <c r="A56" s="228" t="s">
        <v>316</v>
      </c>
      <c r="B56" s="229">
        <v>6669.21</v>
      </c>
      <c r="C56" s="229">
        <f>B56*2.8%</f>
        <v>186.73787999999999</v>
      </c>
      <c r="D56" s="231">
        <f>C56+B56</f>
        <v>6855.9478799999997</v>
      </c>
      <c r="M56" s="85"/>
      <c r="N56" s="30"/>
    </row>
    <row r="57" spans="1:14" ht="30" x14ac:dyDescent="0.25">
      <c r="A57" s="228" t="s">
        <v>317</v>
      </c>
      <c r="B57" s="229">
        <v>6018.27</v>
      </c>
      <c r="C57" s="229">
        <f>B57*2.8%</f>
        <v>168.51156</v>
      </c>
      <c r="D57" s="231">
        <f>C57+B57</f>
        <v>6186.7815600000004</v>
      </c>
      <c r="M57" s="85"/>
      <c r="N57" s="30"/>
    </row>
    <row r="58" spans="1:14" ht="30" x14ac:dyDescent="0.25">
      <c r="A58" s="228" t="s">
        <v>318</v>
      </c>
      <c r="B58" s="229">
        <v>8086.78</v>
      </c>
      <c r="C58" s="229">
        <f>B58*2.8%</f>
        <v>226.42983999999996</v>
      </c>
      <c r="D58" s="231">
        <f>C58+B58</f>
        <v>8313.2098399999995</v>
      </c>
      <c r="M58" s="85"/>
      <c r="N58" s="30"/>
    </row>
    <row r="59" spans="1:14" x14ac:dyDescent="0.25">
      <c r="A59" s="226" t="s">
        <v>57</v>
      </c>
      <c r="B59" s="232">
        <f>B61</f>
        <v>16486.68</v>
      </c>
      <c r="C59" s="232">
        <f>C61</f>
        <v>461.62703999999997</v>
      </c>
      <c r="D59" s="227">
        <f>B59+C59</f>
        <v>16948.30704</v>
      </c>
      <c r="M59" s="85"/>
      <c r="N59" s="30"/>
    </row>
    <row r="60" spans="1:14" x14ac:dyDescent="0.25">
      <c r="A60" s="228" t="s">
        <v>137</v>
      </c>
      <c r="B60" s="232"/>
      <c r="C60" s="232"/>
      <c r="D60" s="232"/>
      <c r="M60" s="85"/>
      <c r="N60" s="30"/>
    </row>
    <row r="61" spans="1:14" x14ac:dyDescent="0.25">
      <c r="A61" s="228" t="s">
        <v>319</v>
      </c>
      <c r="B61" s="229">
        <v>16486.68</v>
      </c>
      <c r="C61" s="229">
        <f>B61*2.8%</f>
        <v>461.62703999999997</v>
      </c>
      <c r="D61" s="231">
        <f>C61+B61</f>
        <v>16948.30704</v>
      </c>
      <c r="M61" s="85"/>
      <c r="N61" s="30"/>
    </row>
    <row r="62" spans="1:14" x14ac:dyDescent="0.25">
      <c r="A62" s="226" t="s">
        <v>61</v>
      </c>
      <c r="B62" s="232">
        <f>B64</f>
        <v>15799.65</v>
      </c>
      <c r="C62" s="232">
        <f>C64</f>
        <v>442.39019999999994</v>
      </c>
      <c r="D62" s="227">
        <f>B62+C62</f>
        <v>16242.040199999999</v>
      </c>
      <c r="M62" s="85"/>
      <c r="N62" s="30"/>
    </row>
    <row r="63" spans="1:14" x14ac:dyDescent="0.25">
      <c r="A63" s="228" t="s">
        <v>137</v>
      </c>
      <c r="B63" s="232"/>
      <c r="C63" s="232"/>
      <c r="D63" s="232"/>
      <c r="M63" s="85"/>
      <c r="N63" s="30"/>
    </row>
    <row r="64" spans="1:14" x14ac:dyDescent="0.25">
      <c r="A64" s="228" t="s">
        <v>121</v>
      </c>
      <c r="B64" s="229">
        <v>15799.65</v>
      </c>
      <c r="C64" s="229">
        <f>B64*2.8%</f>
        <v>442.39019999999994</v>
      </c>
      <c r="D64" s="231">
        <v>15353.1</v>
      </c>
      <c r="M64" s="85"/>
      <c r="N64" s="30"/>
    </row>
    <row r="65" spans="1:14" x14ac:dyDescent="0.25">
      <c r="A65" s="226" t="s">
        <v>62</v>
      </c>
      <c r="B65" s="232">
        <f>B67</f>
        <v>21617.41</v>
      </c>
      <c r="C65" s="232">
        <f>C67</f>
        <v>605.28747999999996</v>
      </c>
      <c r="D65" s="227">
        <f>B65+C65</f>
        <v>22222.697479999999</v>
      </c>
      <c r="M65" s="85"/>
      <c r="N65" s="30"/>
    </row>
    <row r="66" spans="1:14" x14ac:dyDescent="0.25">
      <c r="A66" s="228" t="s">
        <v>137</v>
      </c>
      <c r="B66" s="232"/>
      <c r="C66" s="232"/>
      <c r="D66" s="232"/>
      <c r="M66" s="85"/>
      <c r="N66" s="30"/>
    </row>
    <row r="67" spans="1:14" x14ac:dyDescent="0.25">
      <c r="A67" s="228" t="s">
        <v>320</v>
      </c>
      <c r="B67" s="229">
        <v>21617.41</v>
      </c>
      <c r="C67" s="229">
        <f>B67*2.8%</f>
        <v>605.28747999999996</v>
      </c>
      <c r="D67" s="231">
        <f>B67+C67</f>
        <v>22222.697479999999</v>
      </c>
      <c r="M67" s="85"/>
      <c r="N67" s="30"/>
    </row>
    <row r="68" spans="1:14" x14ac:dyDescent="0.25">
      <c r="A68" s="226" t="s">
        <v>63</v>
      </c>
      <c r="B68" s="232">
        <f>B70</f>
        <v>16794.71</v>
      </c>
      <c r="C68" s="232">
        <f>C70</f>
        <v>470.25187999999991</v>
      </c>
      <c r="D68" s="227">
        <f>B68+C68</f>
        <v>17264.961879999999</v>
      </c>
      <c r="M68" s="85"/>
      <c r="N68" s="30"/>
    </row>
    <row r="69" spans="1:14" x14ac:dyDescent="0.25">
      <c r="A69" s="228" t="s">
        <v>137</v>
      </c>
      <c r="B69" s="229"/>
      <c r="C69" s="229"/>
      <c r="D69" s="229"/>
      <c r="M69" s="85"/>
      <c r="N69" s="30"/>
    </row>
    <row r="70" spans="1:14" x14ac:dyDescent="0.25">
      <c r="A70" s="228" t="s">
        <v>321</v>
      </c>
      <c r="B70" s="229">
        <v>16794.71</v>
      </c>
      <c r="C70" s="229">
        <f>B70*2.8%</f>
        <v>470.25187999999991</v>
      </c>
      <c r="D70" s="231">
        <f>B70+C70</f>
        <v>17264.961879999999</v>
      </c>
      <c r="M70" s="85"/>
      <c r="N70" s="30"/>
    </row>
    <row r="71" spans="1:14" x14ac:dyDescent="0.25">
      <c r="A71" s="226" t="s">
        <v>64</v>
      </c>
      <c r="B71" s="232">
        <f>B73</f>
        <v>26655.08</v>
      </c>
      <c r="C71" s="232">
        <f>C73</f>
        <v>746.34</v>
      </c>
      <c r="D71" s="227">
        <f>B71+C71</f>
        <v>27401.420000000002</v>
      </c>
      <c r="M71" s="85"/>
      <c r="N71" s="30"/>
    </row>
    <row r="72" spans="1:14" x14ac:dyDescent="0.25">
      <c r="A72" s="228" t="s">
        <v>137</v>
      </c>
      <c r="B72" s="232"/>
      <c r="C72" s="232"/>
      <c r="D72" s="232"/>
      <c r="M72" s="85"/>
      <c r="N72" s="30"/>
    </row>
    <row r="73" spans="1:14" x14ac:dyDescent="0.25">
      <c r="A73" s="228" t="s">
        <v>322</v>
      </c>
      <c r="B73" s="229">
        <v>26655.08</v>
      </c>
      <c r="C73" s="229">
        <v>746.34</v>
      </c>
      <c r="D73" s="231">
        <f>B73+C73</f>
        <v>27401.420000000002</v>
      </c>
      <c r="M73" s="85"/>
      <c r="N73" s="30"/>
    </row>
    <row r="74" spans="1:14" x14ac:dyDescent="0.25">
      <c r="A74" s="127" t="s">
        <v>4</v>
      </c>
      <c r="B74" s="235">
        <f>B40+B50+B53+B59+B62+B65+B68+B71</f>
        <v>282591.68999999994</v>
      </c>
      <c r="C74" s="235">
        <f>C40+C50+C53+C59+C62+C65+C68+C71</f>
        <v>7912.5630799999999</v>
      </c>
      <c r="D74" s="227">
        <f>B74+C74</f>
        <v>290504.25307999994</v>
      </c>
      <c r="M74" s="85"/>
      <c r="N74" s="30"/>
    </row>
  </sheetData>
  <mergeCells count="105">
    <mergeCell ref="U33:V33"/>
    <mergeCell ref="U34:V34"/>
    <mergeCell ref="U27:V27"/>
    <mergeCell ref="U28:V28"/>
    <mergeCell ref="U29:V29"/>
    <mergeCell ref="U30:V30"/>
    <mergeCell ref="U31:V31"/>
    <mergeCell ref="U21:V24"/>
    <mergeCell ref="W21:W24"/>
    <mergeCell ref="X21:X24"/>
    <mergeCell ref="U25:V25"/>
    <mergeCell ref="U26:V26"/>
    <mergeCell ref="T21:T24"/>
    <mergeCell ref="O31:P31"/>
    <mergeCell ref="Q31:R31"/>
    <mergeCell ref="O32:P32"/>
    <mergeCell ref="Q32:R32"/>
    <mergeCell ref="O26:P26"/>
    <mergeCell ref="Q26:R26"/>
    <mergeCell ref="O27:P27"/>
    <mergeCell ref="Q27:R27"/>
    <mergeCell ref="O28:P28"/>
    <mergeCell ref="Q28:R28"/>
    <mergeCell ref="O29:P29"/>
    <mergeCell ref="Q29:R29"/>
    <mergeCell ref="O30:P30"/>
    <mergeCell ref="Q30:R30"/>
    <mergeCell ref="O25:P25"/>
    <mergeCell ref="S21:S24"/>
    <mergeCell ref="U32:V32"/>
    <mergeCell ref="J29:K29"/>
    <mergeCell ref="F26:G26"/>
    <mergeCell ref="H26:I26"/>
    <mergeCell ref="H27:I27"/>
    <mergeCell ref="H28:I28"/>
    <mergeCell ref="H29:I29"/>
    <mergeCell ref="J28:K28"/>
    <mergeCell ref="F27:G27"/>
    <mergeCell ref="F28:G28"/>
    <mergeCell ref="F29:G29"/>
    <mergeCell ref="O33:P33"/>
    <mergeCell ref="Q33:R33"/>
    <mergeCell ref="O34:P34"/>
    <mergeCell ref="Q34:R34"/>
    <mergeCell ref="A37:D37"/>
    <mergeCell ref="D34:E34"/>
    <mergeCell ref="B34:C34"/>
    <mergeCell ref="D33:E33"/>
    <mergeCell ref="H34:I34"/>
    <mergeCell ref="J30:K30"/>
    <mergeCell ref="F34:G34"/>
    <mergeCell ref="H30:I30"/>
    <mergeCell ref="H31:I31"/>
    <mergeCell ref="J31:K31"/>
    <mergeCell ref="J32:K32"/>
    <mergeCell ref="J33:K33"/>
    <mergeCell ref="J34:K34"/>
    <mergeCell ref="F30:G30"/>
    <mergeCell ref="F31:G31"/>
    <mergeCell ref="F32:G32"/>
    <mergeCell ref="F33:G33"/>
    <mergeCell ref="H32:I32"/>
    <mergeCell ref="H33:I33"/>
    <mergeCell ref="B32:C32"/>
    <mergeCell ref="B33:C33"/>
    <mergeCell ref="B24:C24"/>
    <mergeCell ref="D24:E24"/>
    <mergeCell ref="F24:G24"/>
    <mergeCell ref="H24:I24"/>
    <mergeCell ref="D28:E28"/>
    <mergeCell ref="D29:E29"/>
    <mergeCell ref="D30:E30"/>
    <mergeCell ref="D31:E31"/>
    <mergeCell ref="D32:E32"/>
    <mergeCell ref="B31:C31"/>
    <mergeCell ref="B26:C26"/>
    <mergeCell ref="B27:C27"/>
    <mergeCell ref="B28:C28"/>
    <mergeCell ref="B29:C29"/>
    <mergeCell ref="B30:C30"/>
    <mergeCell ref="B25:C25"/>
    <mergeCell ref="D25:E25"/>
    <mergeCell ref="F25:G25"/>
    <mergeCell ref="H25:I25"/>
    <mergeCell ref="J25:K25"/>
    <mergeCell ref="J24:K24"/>
    <mergeCell ref="D26:E26"/>
    <mergeCell ref="D27:E27"/>
    <mergeCell ref="J26:K26"/>
    <mergeCell ref="J27:K27"/>
    <mergeCell ref="A21:A24"/>
    <mergeCell ref="Q25:R25"/>
    <mergeCell ref="A6:A8"/>
    <mergeCell ref="B21:N23"/>
    <mergeCell ref="O21:P24"/>
    <mergeCell ref="Q21:R24"/>
    <mergeCell ref="A1:S1"/>
    <mergeCell ref="B6:S6"/>
    <mergeCell ref="Q7:S7"/>
    <mergeCell ref="B7:D7"/>
    <mergeCell ref="E7:G7"/>
    <mergeCell ref="A2:S2"/>
    <mergeCell ref="K7:M7"/>
    <mergeCell ref="N7:P7"/>
    <mergeCell ref="H7:J7"/>
  </mergeCells>
  <printOptions horizontalCentered="1"/>
  <pageMargins left="0.19685039370078741" right="0.19685039370078741" top="0.6692913385826772" bottom="0.31496062992125984" header="0.31496062992125984" footer="0.31496062992125984"/>
  <pageSetup paperSize="9" scale="3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FF0000"/>
    <pageSetUpPr fitToPage="1"/>
  </sheetPr>
  <dimension ref="A1:Z65"/>
  <sheetViews>
    <sheetView workbookViewId="0">
      <selection activeCell="S5" sqref="S5:S6"/>
    </sheetView>
  </sheetViews>
  <sheetFormatPr defaultColWidth="23.7109375" defaultRowHeight="15.75" x14ac:dyDescent="0.25"/>
  <cols>
    <col min="1" max="1" width="36.7109375" style="403" customWidth="1"/>
    <col min="2" max="2" width="10" style="378" hidden="1" customWidth="1"/>
    <col min="3" max="3" width="11.140625" style="378" hidden="1" customWidth="1"/>
    <col min="4" max="4" width="12.5703125" style="378" hidden="1" customWidth="1"/>
    <col min="5" max="5" width="10.42578125" style="378" hidden="1" customWidth="1"/>
    <col min="6" max="6" width="10.85546875" style="378" hidden="1" customWidth="1"/>
    <col min="7" max="7" width="9.5703125" style="378" hidden="1" customWidth="1"/>
    <col min="8" max="8" width="10.85546875" style="378" hidden="1" customWidth="1"/>
    <col min="9" max="9" width="22.140625" style="378" hidden="1" customWidth="1"/>
    <col min="10" max="11" width="14.42578125" style="378" hidden="1" customWidth="1"/>
    <col min="12" max="12" width="15.140625" style="378" hidden="1" customWidth="1"/>
    <col min="13" max="13" width="9.140625" style="378" hidden="1" customWidth="1"/>
    <col min="14" max="15" width="9.7109375" style="378" customWidth="1"/>
    <col min="16" max="16" width="12.28515625" style="378" customWidth="1"/>
    <col min="17" max="17" width="11.85546875" style="378" customWidth="1"/>
    <col min="18" max="18" width="11.42578125" style="378" customWidth="1"/>
    <col min="19" max="19" width="15.85546875" style="378" customWidth="1"/>
    <col min="20" max="20" width="21.140625" style="378" customWidth="1"/>
    <col min="21" max="23" width="9.140625" style="378" hidden="1" customWidth="1"/>
    <col min="24" max="24" width="9.5703125" style="378" hidden="1" customWidth="1"/>
    <col min="25" max="26" width="21.140625" style="378" customWidth="1"/>
    <col min="27" max="247" width="9.140625" style="378" customWidth="1"/>
    <col min="248" max="248" width="18.5703125" style="378" customWidth="1"/>
    <col min="249" max="249" width="12.85546875" style="378" customWidth="1"/>
    <col min="250" max="250" width="13.28515625" style="378" customWidth="1"/>
    <col min="251" max="251" width="12.5703125" style="378" customWidth="1"/>
    <col min="252" max="252" width="10.42578125" style="378" customWidth="1"/>
    <col min="253" max="253" width="9" style="378" customWidth="1"/>
    <col min="254" max="254" width="14" style="378" customWidth="1"/>
    <col min="255" max="255" width="0" style="378" hidden="1" customWidth="1"/>
    <col min="256" max="256" width="23.7109375" style="378"/>
    <col min="257" max="257" width="36.7109375" style="378" customWidth="1"/>
    <col min="258" max="269" width="0" style="378" hidden="1" customWidth="1"/>
    <col min="270" max="271" width="9.7109375" style="378" customWidth="1"/>
    <col min="272" max="272" width="12.28515625" style="378" customWidth="1"/>
    <col min="273" max="273" width="11.85546875" style="378" customWidth="1"/>
    <col min="274" max="274" width="11.42578125" style="378" customWidth="1"/>
    <col min="275" max="275" width="15.85546875" style="378" customWidth="1"/>
    <col min="276" max="276" width="21.140625" style="378" customWidth="1"/>
    <col min="277" max="280" width="0" style="378" hidden="1" customWidth="1"/>
    <col min="281" max="282" width="21.140625" style="378" customWidth="1"/>
    <col min="283" max="503" width="9.140625" style="378" customWidth="1"/>
    <col min="504" max="504" width="18.5703125" style="378" customWidth="1"/>
    <col min="505" max="505" width="12.85546875" style="378" customWidth="1"/>
    <col min="506" max="506" width="13.28515625" style="378" customWidth="1"/>
    <col min="507" max="507" width="12.5703125" style="378" customWidth="1"/>
    <col min="508" max="508" width="10.42578125" style="378" customWidth="1"/>
    <col min="509" max="509" width="9" style="378" customWidth="1"/>
    <col min="510" max="510" width="14" style="378" customWidth="1"/>
    <col min="511" max="511" width="0" style="378" hidden="1" customWidth="1"/>
    <col min="512" max="512" width="23.7109375" style="378"/>
    <col min="513" max="513" width="36.7109375" style="378" customWidth="1"/>
    <col min="514" max="525" width="0" style="378" hidden="1" customWidth="1"/>
    <col min="526" max="527" width="9.7109375" style="378" customWidth="1"/>
    <col min="528" max="528" width="12.28515625" style="378" customWidth="1"/>
    <col min="529" max="529" width="11.85546875" style="378" customWidth="1"/>
    <col min="530" max="530" width="11.42578125" style="378" customWidth="1"/>
    <col min="531" max="531" width="15.85546875" style="378" customWidth="1"/>
    <col min="532" max="532" width="21.140625" style="378" customWidth="1"/>
    <col min="533" max="536" width="0" style="378" hidden="1" customWidth="1"/>
    <col min="537" max="538" width="21.140625" style="378" customWidth="1"/>
    <col min="539" max="759" width="9.140625" style="378" customWidth="1"/>
    <col min="760" max="760" width="18.5703125" style="378" customWidth="1"/>
    <col min="761" max="761" width="12.85546875" style="378" customWidth="1"/>
    <col min="762" max="762" width="13.28515625" style="378" customWidth="1"/>
    <col min="763" max="763" width="12.5703125" style="378" customWidth="1"/>
    <col min="764" max="764" width="10.42578125" style="378" customWidth="1"/>
    <col min="765" max="765" width="9" style="378" customWidth="1"/>
    <col min="766" max="766" width="14" style="378" customWidth="1"/>
    <col min="767" max="767" width="0" style="378" hidden="1" customWidth="1"/>
    <col min="768" max="768" width="23.7109375" style="378"/>
    <col min="769" max="769" width="36.7109375" style="378" customWidth="1"/>
    <col min="770" max="781" width="0" style="378" hidden="1" customWidth="1"/>
    <col min="782" max="783" width="9.7109375" style="378" customWidth="1"/>
    <col min="784" max="784" width="12.28515625" style="378" customWidth="1"/>
    <col min="785" max="785" width="11.85546875" style="378" customWidth="1"/>
    <col min="786" max="786" width="11.42578125" style="378" customWidth="1"/>
    <col min="787" max="787" width="15.85546875" style="378" customWidth="1"/>
    <col min="788" max="788" width="21.140625" style="378" customWidth="1"/>
    <col min="789" max="792" width="0" style="378" hidden="1" customWidth="1"/>
    <col min="793" max="794" width="21.140625" style="378" customWidth="1"/>
    <col min="795" max="1015" width="9.140625" style="378" customWidth="1"/>
    <col min="1016" max="1016" width="18.5703125" style="378" customWidth="1"/>
    <col min="1017" max="1017" width="12.85546875" style="378" customWidth="1"/>
    <col min="1018" max="1018" width="13.28515625" style="378" customWidth="1"/>
    <col min="1019" max="1019" width="12.5703125" style="378" customWidth="1"/>
    <col min="1020" max="1020" width="10.42578125" style="378" customWidth="1"/>
    <col min="1021" max="1021" width="9" style="378" customWidth="1"/>
    <col min="1022" max="1022" width="14" style="378" customWidth="1"/>
    <col min="1023" max="1023" width="0" style="378" hidden="1" customWidth="1"/>
    <col min="1024" max="1024" width="23.7109375" style="378"/>
    <col min="1025" max="1025" width="36.7109375" style="378" customWidth="1"/>
    <col min="1026" max="1037" width="0" style="378" hidden="1" customWidth="1"/>
    <col min="1038" max="1039" width="9.7109375" style="378" customWidth="1"/>
    <col min="1040" max="1040" width="12.28515625" style="378" customWidth="1"/>
    <col min="1041" max="1041" width="11.85546875" style="378" customWidth="1"/>
    <col min="1042" max="1042" width="11.42578125" style="378" customWidth="1"/>
    <col min="1043" max="1043" width="15.85546875" style="378" customWidth="1"/>
    <col min="1044" max="1044" width="21.140625" style="378" customWidth="1"/>
    <col min="1045" max="1048" width="0" style="378" hidden="1" customWidth="1"/>
    <col min="1049" max="1050" width="21.140625" style="378" customWidth="1"/>
    <col min="1051" max="1271" width="9.140625" style="378" customWidth="1"/>
    <col min="1272" max="1272" width="18.5703125" style="378" customWidth="1"/>
    <col min="1273" max="1273" width="12.85546875" style="378" customWidth="1"/>
    <col min="1274" max="1274" width="13.28515625" style="378" customWidth="1"/>
    <col min="1275" max="1275" width="12.5703125" style="378" customWidth="1"/>
    <col min="1276" max="1276" width="10.42578125" style="378" customWidth="1"/>
    <col min="1277" max="1277" width="9" style="378" customWidth="1"/>
    <col min="1278" max="1278" width="14" style="378" customWidth="1"/>
    <col min="1279" max="1279" width="0" style="378" hidden="1" customWidth="1"/>
    <col min="1280" max="1280" width="23.7109375" style="378"/>
    <col min="1281" max="1281" width="36.7109375" style="378" customWidth="1"/>
    <col min="1282" max="1293" width="0" style="378" hidden="1" customWidth="1"/>
    <col min="1294" max="1295" width="9.7109375" style="378" customWidth="1"/>
    <col min="1296" max="1296" width="12.28515625" style="378" customWidth="1"/>
    <col min="1297" max="1297" width="11.85546875" style="378" customWidth="1"/>
    <col min="1298" max="1298" width="11.42578125" style="378" customWidth="1"/>
    <col min="1299" max="1299" width="15.85546875" style="378" customWidth="1"/>
    <col min="1300" max="1300" width="21.140625" style="378" customWidth="1"/>
    <col min="1301" max="1304" width="0" style="378" hidden="1" customWidth="1"/>
    <col min="1305" max="1306" width="21.140625" style="378" customWidth="1"/>
    <col min="1307" max="1527" width="9.140625" style="378" customWidth="1"/>
    <col min="1528" max="1528" width="18.5703125" style="378" customWidth="1"/>
    <col min="1529" max="1529" width="12.85546875" style="378" customWidth="1"/>
    <col min="1530" max="1530" width="13.28515625" style="378" customWidth="1"/>
    <col min="1531" max="1531" width="12.5703125" style="378" customWidth="1"/>
    <col min="1532" max="1532" width="10.42578125" style="378" customWidth="1"/>
    <col min="1533" max="1533" width="9" style="378" customWidth="1"/>
    <col min="1534" max="1534" width="14" style="378" customWidth="1"/>
    <col min="1535" max="1535" width="0" style="378" hidden="1" customWidth="1"/>
    <col min="1536" max="1536" width="23.7109375" style="378"/>
    <col min="1537" max="1537" width="36.7109375" style="378" customWidth="1"/>
    <col min="1538" max="1549" width="0" style="378" hidden="1" customWidth="1"/>
    <col min="1550" max="1551" width="9.7109375" style="378" customWidth="1"/>
    <col min="1552" max="1552" width="12.28515625" style="378" customWidth="1"/>
    <col min="1553" max="1553" width="11.85546875" style="378" customWidth="1"/>
    <col min="1554" max="1554" width="11.42578125" style="378" customWidth="1"/>
    <col min="1555" max="1555" width="15.85546875" style="378" customWidth="1"/>
    <col min="1556" max="1556" width="21.140625" style="378" customWidth="1"/>
    <col min="1557" max="1560" width="0" style="378" hidden="1" customWidth="1"/>
    <col min="1561" max="1562" width="21.140625" style="378" customWidth="1"/>
    <col min="1563" max="1783" width="9.140625" style="378" customWidth="1"/>
    <col min="1784" max="1784" width="18.5703125" style="378" customWidth="1"/>
    <col min="1785" max="1785" width="12.85546875" style="378" customWidth="1"/>
    <col min="1786" max="1786" width="13.28515625" style="378" customWidth="1"/>
    <col min="1787" max="1787" width="12.5703125" style="378" customWidth="1"/>
    <col min="1788" max="1788" width="10.42578125" style="378" customWidth="1"/>
    <col min="1789" max="1789" width="9" style="378" customWidth="1"/>
    <col min="1790" max="1790" width="14" style="378" customWidth="1"/>
    <col min="1791" max="1791" width="0" style="378" hidden="1" customWidth="1"/>
    <col min="1792" max="1792" width="23.7109375" style="378"/>
    <col min="1793" max="1793" width="36.7109375" style="378" customWidth="1"/>
    <col min="1794" max="1805" width="0" style="378" hidden="1" customWidth="1"/>
    <col min="1806" max="1807" width="9.7109375" style="378" customWidth="1"/>
    <col min="1808" max="1808" width="12.28515625" style="378" customWidth="1"/>
    <col min="1809" max="1809" width="11.85546875" style="378" customWidth="1"/>
    <col min="1810" max="1810" width="11.42578125" style="378" customWidth="1"/>
    <col min="1811" max="1811" width="15.85546875" style="378" customWidth="1"/>
    <col min="1812" max="1812" width="21.140625" style="378" customWidth="1"/>
    <col min="1813" max="1816" width="0" style="378" hidden="1" customWidth="1"/>
    <col min="1817" max="1818" width="21.140625" style="378" customWidth="1"/>
    <col min="1819" max="2039" width="9.140625" style="378" customWidth="1"/>
    <col min="2040" max="2040" width="18.5703125" style="378" customWidth="1"/>
    <col min="2041" max="2041" width="12.85546875" style="378" customWidth="1"/>
    <col min="2042" max="2042" width="13.28515625" style="378" customWidth="1"/>
    <col min="2043" max="2043" width="12.5703125" style="378" customWidth="1"/>
    <col min="2044" max="2044" width="10.42578125" style="378" customWidth="1"/>
    <col min="2045" max="2045" width="9" style="378" customWidth="1"/>
    <col min="2046" max="2046" width="14" style="378" customWidth="1"/>
    <col min="2047" max="2047" width="0" style="378" hidden="1" customWidth="1"/>
    <col min="2048" max="2048" width="23.7109375" style="378"/>
    <col min="2049" max="2049" width="36.7109375" style="378" customWidth="1"/>
    <col min="2050" max="2061" width="0" style="378" hidden="1" customWidth="1"/>
    <col min="2062" max="2063" width="9.7109375" style="378" customWidth="1"/>
    <col min="2064" max="2064" width="12.28515625" style="378" customWidth="1"/>
    <col min="2065" max="2065" width="11.85546875" style="378" customWidth="1"/>
    <col min="2066" max="2066" width="11.42578125" style="378" customWidth="1"/>
    <col min="2067" max="2067" width="15.85546875" style="378" customWidth="1"/>
    <col min="2068" max="2068" width="21.140625" style="378" customWidth="1"/>
    <col min="2069" max="2072" width="0" style="378" hidden="1" customWidth="1"/>
    <col min="2073" max="2074" width="21.140625" style="378" customWidth="1"/>
    <col min="2075" max="2295" width="9.140625" style="378" customWidth="1"/>
    <col min="2296" max="2296" width="18.5703125" style="378" customWidth="1"/>
    <col min="2297" max="2297" width="12.85546875" style="378" customWidth="1"/>
    <col min="2298" max="2298" width="13.28515625" style="378" customWidth="1"/>
    <col min="2299" max="2299" width="12.5703125" style="378" customWidth="1"/>
    <col min="2300" max="2300" width="10.42578125" style="378" customWidth="1"/>
    <col min="2301" max="2301" width="9" style="378" customWidth="1"/>
    <col min="2302" max="2302" width="14" style="378" customWidth="1"/>
    <col min="2303" max="2303" width="0" style="378" hidden="1" customWidth="1"/>
    <col min="2304" max="2304" width="23.7109375" style="378"/>
    <col min="2305" max="2305" width="36.7109375" style="378" customWidth="1"/>
    <col min="2306" max="2317" width="0" style="378" hidden="1" customWidth="1"/>
    <col min="2318" max="2319" width="9.7109375" style="378" customWidth="1"/>
    <col min="2320" max="2320" width="12.28515625" style="378" customWidth="1"/>
    <col min="2321" max="2321" width="11.85546875" style="378" customWidth="1"/>
    <col min="2322" max="2322" width="11.42578125" style="378" customWidth="1"/>
    <col min="2323" max="2323" width="15.85546875" style="378" customWidth="1"/>
    <col min="2324" max="2324" width="21.140625" style="378" customWidth="1"/>
    <col min="2325" max="2328" width="0" style="378" hidden="1" customWidth="1"/>
    <col min="2329" max="2330" width="21.140625" style="378" customWidth="1"/>
    <col min="2331" max="2551" width="9.140625" style="378" customWidth="1"/>
    <col min="2552" max="2552" width="18.5703125" style="378" customWidth="1"/>
    <col min="2553" max="2553" width="12.85546875" style="378" customWidth="1"/>
    <col min="2554" max="2554" width="13.28515625" style="378" customWidth="1"/>
    <col min="2555" max="2555" width="12.5703125" style="378" customWidth="1"/>
    <col min="2556" max="2556" width="10.42578125" style="378" customWidth="1"/>
    <col min="2557" max="2557" width="9" style="378" customWidth="1"/>
    <col min="2558" max="2558" width="14" style="378" customWidth="1"/>
    <col min="2559" max="2559" width="0" style="378" hidden="1" customWidth="1"/>
    <col min="2560" max="2560" width="23.7109375" style="378"/>
    <col min="2561" max="2561" width="36.7109375" style="378" customWidth="1"/>
    <col min="2562" max="2573" width="0" style="378" hidden="1" customWidth="1"/>
    <col min="2574" max="2575" width="9.7109375" style="378" customWidth="1"/>
    <col min="2576" max="2576" width="12.28515625" style="378" customWidth="1"/>
    <col min="2577" max="2577" width="11.85546875" style="378" customWidth="1"/>
    <col min="2578" max="2578" width="11.42578125" style="378" customWidth="1"/>
    <col min="2579" max="2579" width="15.85546875" style="378" customWidth="1"/>
    <col min="2580" max="2580" width="21.140625" style="378" customWidth="1"/>
    <col min="2581" max="2584" width="0" style="378" hidden="1" customWidth="1"/>
    <col min="2585" max="2586" width="21.140625" style="378" customWidth="1"/>
    <col min="2587" max="2807" width="9.140625" style="378" customWidth="1"/>
    <col min="2808" max="2808" width="18.5703125" style="378" customWidth="1"/>
    <col min="2809" max="2809" width="12.85546875" style="378" customWidth="1"/>
    <col min="2810" max="2810" width="13.28515625" style="378" customWidth="1"/>
    <col min="2811" max="2811" width="12.5703125" style="378" customWidth="1"/>
    <col min="2812" max="2812" width="10.42578125" style="378" customWidth="1"/>
    <col min="2813" max="2813" width="9" style="378" customWidth="1"/>
    <col min="2814" max="2814" width="14" style="378" customWidth="1"/>
    <col min="2815" max="2815" width="0" style="378" hidden="1" customWidth="1"/>
    <col min="2816" max="2816" width="23.7109375" style="378"/>
    <col min="2817" max="2817" width="36.7109375" style="378" customWidth="1"/>
    <col min="2818" max="2829" width="0" style="378" hidden="1" customWidth="1"/>
    <col min="2830" max="2831" width="9.7109375" style="378" customWidth="1"/>
    <col min="2832" max="2832" width="12.28515625" style="378" customWidth="1"/>
    <col min="2833" max="2833" width="11.85546875" style="378" customWidth="1"/>
    <col min="2834" max="2834" width="11.42578125" style="378" customWidth="1"/>
    <col min="2835" max="2835" width="15.85546875" style="378" customWidth="1"/>
    <col min="2836" max="2836" width="21.140625" style="378" customWidth="1"/>
    <col min="2837" max="2840" width="0" style="378" hidden="1" customWidth="1"/>
    <col min="2841" max="2842" width="21.140625" style="378" customWidth="1"/>
    <col min="2843" max="3063" width="9.140625" style="378" customWidth="1"/>
    <col min="3064" max="3064" width="18.5703125" style="378" customWidth="1"/>
    <col min="3065" max="3065" width="12.85546875" style="378" customWidth="1"/>
    <col min="3066" max="3066" width="13.28515625" style="378" customWidth="1"/>
    <col min="3067" max="3067" width="12.5703125" style="378" customWidth="1"/>
    <col min="3068" max="3068" width="10.42578125" style="378" customWidth="1"/>
    <col min="3069" max="3069" width="9" style="378" customWidth="1"/>
    <col min="3070" max="3070" width="14" style="378" customWidth="1"/>
    <col min="3071" max="3071" width="0" style="378" hidden="1" customWidth="1"/>
    <col min="3072" max="3072" width="23.7109375" style="378"/>
    <col min="3073" max="3073" width="36.7109375" style="378" customWidth="1"/>
    <col min="3074" max="3085" width="0" style="378" hidden="1" customWidth="1"/>
    <col min="3086" max="3087" width="9.7109375" style="378" customWidth="1"/>
    <col min="3088" max="3088" width="12.28515625" style="378" customWidth="1"/>
    <col min="3089" max="3089" width="11.85546875" style="378" customWidth="1"/>
    <col min="3090" max="3090" width="11.42578125" style="378" customWidth="1"/>
    <col min="3091" max="3091" width="15.85546875" style="378" customWidth="1"/>
    <col min="3092" max="3092" width="21.140625" style="378" customWidth="1"/>
    <col min="3093" max="3096" width="0" style="378" hidden="1" customWidth="1"/>
    <col min="3097" max="3098" width="21.140625" style="378" customWidth="1"/>
    <col min="3099" max="3319" width="9.140625" style="378" customWidth="1"/>
    <col min="3320" max="3320" width="18.5703125" style="378" customWidth="1"/>
    <col min="3321" max="3321" width="12.85546875" style="378" customWidth="1"/>
    <col min="3322" max="3322" width="13.28515625" style="378" customWidth="1"/>
    <col min="3323" max="3323" width="12.5703125" style="378" customWidth="1"/>
    <col min="3324" max="3324" width="10.42578125" style="378" customWidth="1"/>
    <col min="3325" max="3325" width="9" style="378" customWidth="1"/>
    <col min="3326" max="3326" width="14" style="378" customWidth="1"/>
    <col min="3327" max="3327" width="0" style="378" hidden="1" customWidth="1"/>
    <col min="3328" max="3328" width="23.7109375" style="378"/>
    <col min="3329" max="3329" width="36.7109375" style="378" customWidth="1"/>
    <col min="3330" max="3341" width="0" style="378" hidden="1" customWidth="1"/>
    <col min="3342" max="3343" width="9.7109375" style="378" customWidth="1"/>
    <col min="3344" max="3344" width="12.28515625" style="378" customWidth="1"/>
    <col min="3345" max="3345" width="11.85546875" style="378" customWidth="1"/>
    <col min="3346" max="3346" width="11.42578125" style="378" customWidth="1"/>
    <col min="3347" max="3347" width="15.85546875" style="378" customWidth="1"/>
    <col min="3348" max="3348" width="21.140625" style="378" customWidth="1"/>
    <col min="3349" max="3352" width="0" style="378" hidden="1" customWidth="1"/>
    <col min="3353" max="3354" width="21.140625" style="378" customWidth="1"/>
    <col min="3355" max="3575" width="9.140625" style="378" customWidth="1"/>
    <col min="3576" max="3576" width="18.5703125" style="378" customWidth="1"/>
    <col min="3577" max="3577" width="12.85546875" style="378" customWidth="1"/>
    <col min="3578" max="3578" width="13.28515625" style="378" customWidth="1"/>
    <col min="3579" max="3579" width="12.5703125" style="378" customWidth="1"/>
    <col min="3580" max="3580" width="10.42578125" style="378" customWidth="1"/>
    <col min="3581" max="3581" width="9" style="378" customWidth="1"/>
    <col min="3582" max="3582" width="14" style="378" customWidth="1"/>
    <col min="3583" max="3583" width="0" style="378" hidden="1" customWidth="1"/>
    <col min="3584" max="3584" width="23.7109375" style="378"/>
    <col min="3585" max="3585" width="36.7109375" style="378" customWidth="1"/>
    <col min="3586" max="3597" width="0" style="378" hidden="1" customWidth="1"/>
    <col min="3598" max="3599" width="9.7109375" style="378" customWidth="1"/>
    <col min="3600" max="3600" width="12.28515625" style="378" customWidth="1"/>
    <col min="3601" max="3601" width="11.85546875" style="378" customWidth="1"/>
    <col min="3602" max="3602" width="11.42578125" style="378" customWidth="1"/>
    <col min="3603" max="3603" width="15.85546875" style="378" customWidth="1"/>
    <col min="3604" max="3604" width="21.140625" style="378" customWidth="1"/>
    <col min="3605" max="3608" width="0" style="378" hidden="1" customWidth="1"/>
    <col min="3609" max="3610" width="21.140625" style="378" customWidth="1"/>
    <col min="3611" max="3831" width="9.140625" style="378" customWidth="1"/>
    <col min="3832" max="3832" width="18.5703125" style="378" customWidth="1"/>
    <col min="3833" max="3833" width="12.85546875" style="378" customWidth="1"/>
    <col min="3834" max="3834" width="13.28515625" style="378" customWidth="1"/>
    <col min="3835" max="3835" width="12.5703125" style="378" customWidth="1"/>
    <col min="3836" max="3836" width="10.42578125" style="378" customWidth="1"/>
    <col min="3837" max="3837" width="9" style="378" customWidth="1"/>
    <col min="3838" max="3838" width="14" style="378" customWidth="1"/>
    <col min="3839" max="3839" width="0" style="378" hidden="1" customWidth="1"/>
    <col min="3840" max="3840" width="23.7109375" style="378"/>
    <col min="3841" max="3841" width="36.7109375" style="378" customWidth="1"/>
    <col min="3842" max="3853" width="0" style="378" hidden="1" customWidth="1"/>
    <col min="3854" max="3855" width="9.7109375" style="378" customWidth="1"/>
    <col min="3856" max="3856" width="12.28515625" style="378" customWidth="1"/>
    <col min="3857" max="3857" width="11.85546875" style="378" customWidth="1"/>
    <col min="3858" max="3858" width="11.42578125" style="378" customWidth="1"/>
    <col min="3859" max="3859" width="15.85546875" style="378" customWidth="1"/>
    <col min="3860" max="3860" width="21.140625" style="378" customWidth="1"/>
    <col min="3861" max="3864" width="0" style="378" hidden="1" customWidth="1"/>
    <col min="3865" max="3866" width="21.140625" style="378" customWidth="1"/>
    <col min="3867" max="4087" width="9.140625" style="378" customWidth="1"/>
    <col min="4088" max="4088" width="18.5703125" style="378" customWidth="1"/>
    <col min="4089" max="4089" width="12.85546875" style="378" customWidth="1"/>
    <col min="4090" max="4090" width="13.28515625" style="378" customWidth="1"/>
    <col min="4091" max="4091" width="12.5703125" style="378" customWidth="1"/>
    <col min="4092" max="4092" width="10.42578125" style="378" customWidth="1"/>
    <col min="4093" max="4093" width="9" style="378" customWidth="1"/>
    <col min="4094" max="4094" width="14" style="378" customWidth="1"/>
    <col min="4095" max="4095" width="0" style="378" hidden="1" customWidth="1"/>
    <col min="4096" max="4096" width="23.7109375" style="378"/>
    <col min="4097" max="4097" width="36.7109375" style="378" customWidth="1"/>
    <col min="4098" max="4109" width="0" style="378" hidden="1" customWidth="1"/>
    <col min="4110" max="4111" width="9.7109375" style="378" customWidth="1"/>
    <col min="4112" max="4112" width="12.28515625" style="378" customWidth="1"/>
    <col min="4113" max="4113" width="11.85546875" style="378" customWidth="1"/>
    <col min="4114" max="4114" width="11.42578125" style="378" customWidth="1"/>
    <col min="4115" max="4115" width="15.85546875" style="378" customWidth="1"/>
    <col min="4116" max="4116" width="21.140625" style="378" customWidth="1"/>
    <col min="4117" max="4120" width="0" style="378" hidden="1" customWidth="1"/>
    <col min="4121" max="4122" width="21.140625" style="378" customWidth="1"/>
    <col min="4123" max="4343" width="9.140625" style="378" customWidth="1"/>
    <col min="4344" max="4344" width="18.5703125" style="378" customWidth="1"/>
    <col min="4345" max="4345" width="12.85546875" style="378" customWidth="1"/>
    <col min="4346" max="4346" width="13.28515625" style="378" customWidth="1"/>
    <col min="4347" max="4347" width="12.5703125" style="378" customWidth="1"/>
    <col min="4348" max="4348" width="10.42578125" style="378" customWidth="1"/>
    <col min="4349" max="4349" width="9" style="378" customWidth="1"/>
    <col min="4350" max="4350" width="14" style="378" customWidth="1"/>
    <col min="4351" max="4351" width="0" style="378" hidden="1" customWidth="1"/>
    <col min="4352" max="4352" width="23.7109375" style="378"/>
    <col min="4353" max="4353" width="36.7109375" style="378" customWidth="1"/>
    <col min="4354" max="4365" width="0" style="378" hidden="1" customWidth="1"/>
    <col min="4366" max="4367" width="9.7109375" style="378" customWidth="1"/>
    <col min="4368" max="4368" width="12.28515625" style="378" customWidth="1"/>
    <col min="4369" max="4369" width="11.85546875" style="378" customWidth="1"/>
    <col min="4370" max="4370" width="11.42578125" style="378" customWidth="1"/>
    <col min="4371" max="4371" width="15.85546875" style="378" customWidth="1"/>
    <col min="4372" max="4372" width="21.140625" style="378" customWidth="1"/>
    <col min="4373" max="4376" width="0" style="378" hidden="1" customWidth="1"/>
    <col min="4377" max="4378" width="21.140625" style="378" customWidth="1"/>
    <col min="4379" max="4599" width="9.140625" style="378" customWidth="1"/>
    <col min="4600" max="4600" width="18.5703125" style="378" customWidth="1"/>
    <col min="4601" max="4601" width="12.85546875" style="378" customWidth="1"/>
    <col min="4602" max="4602" width="13.28515625" style="378" customWidth="1"/>
    <col min="4603" max="4603" width="12.5703125" style="378" customWidth="1"/>
    <col min="4604" max="4604" width="10.42578125" style="378" customWidth="1"/>
    <col min="4605" max="4605" width="9" style="378" customWidth="1"/>
    <col min="4606" max="4606" width="14" style="378" customWidth="1"/>
    <col min="4607" max="4607" width="0" style="378" hidden="1" customWidth="1"/>
    <col min="4608" max="4608" width="23.7109375" style="378"/>
    <col min="4609" max="4609" width="36.7109375" style="378" customWidth="1"/>
    <col min="4610" max="4621" width="0" style="378" hidden="1" customWidth="1"/>
    <col min="4622" max="4623" width="9.7109375" style="378" customWidth="1"/>
    <col min="4624" max="4624" width="12.28515625" style="378" customWidth="1"/>
    <col min="4625" max="4625" width="11.85546875" style="378" customWidth="1"/>
    <col min="4626" max="4626" width="11.42578125" style="378" customWidth="1"/>
    <col min="4627" max="4627" width="15.85546875" style="378" customWidth="1"/>
    <col min="4628" max="4628" width="21.140625" style="378" customWidth="1"/>
    <col min="4629" max="4632" width="0" style="378" hidden="1" customWidth="1"/>
    <col min="4633" max="4634" width="21.140625" style="378" customWidth="1"/>
    <col min="4635" max="4855" width="9.140625" style="378" customWidth="1"/>
    <col min="4856" max="4856" width="18.5703125" style="378" customWidth="1"/>
    <col min="4857" max="4857" width="12.85546875" style="378" customWidth="1"/>
    <col min="4858" max="4858" width="13.28515625" style="378" customWidth="1"/>
    <col min="4859" max="4859" width="12.5703125" style="378" customWidth="1"/>
    <col min="4860" max="4860" width="10.42578125" style="378" customWidth="1"/>
    <col min="4861" max="4861" width="9" style="378" customWidth="1"/>
    <col min="4862" max="4862" width="14" style="378" customWidth="1"/>
    <col min="4863" max="4863" width="0" style="378" hidden="1" customWidth="1"/>
    <col min="4864" max="4864" width="23.7109375" style="378"/>
    <col min="4865" max="4865" width="36.7109375" style="378" customWidth="1"/>
    <col min="4866" max="4877" width="0" style="378" hidden="1" customWidth="1"/>
    <col min="4878" max="4879" width="9.7109375" style="378" customWidth="1"/>
    <col min="4880" max="4880" width="12.28515625" style="378" customWidth="1"/>
    <col min="4881" max="4881" width="11.85546875" style="378" customWidth="1"/>
    <col min="4882" max="4882" width="11.42578125" style="378" customWidth="1"/>
    <col min="4883" max="4883" width="15.85546875" style="378" customWidth="1"/>
    <col min="4884" max="4884" width="21.140625" style="378" customWidth="1"/>
    <col min="4885" max="4888" width="0" style="378" hidden="1" customWidth="1"/>
    <col min="4889" max="4890" width="21.140625" style="378" customWidth="1"/>
    <col min="4891" max="5111" width="9.140625" style="378" customWidth="1"/>
    <col min="5112" max="5112" width="18.5703125" style="378" customWidth="1"/>
    <col min="5113" max="5113" width="12.85546875" style="378" customWidth="1"/>
    <col min="5114" max="5114" width="13.28515625" style="378" customWidth="1"/>
    <col min="5115" max="5115" width="12.5703125" style="378" customWidth="1"/>
    <col min="5116" max="5116" width="10.42578125" style="378" customWidth="1"/>
    <col min="5117" max="5117" width="9" style="378" customWidth="1"/>
    <col min="5118" max="5118" width="14" style="378" customWidth="1"/>
    <col min="5119" max="5119" width="0" style="378" hidden="1" customWidth="1"/>
    <col min="5120" max="5120" width="23.7109375" style="378"/>
    <col min="5121" max="5121" width="36.7109375" style="378" customWidth="1"/>
    <col min="5122" max="5133" width="0" style="378" hidden="1" customWidth="1"/>
    <col min="5134" max="5135" width="9.7109375" style="378" customWidth="1"/>
    <col min="5136" max="5136" width="12.28515625" style="378" customWidth="1"/>
    <col min="5137" max="5137" width="11.85546875" style="378" customWidth="1"/>
    <col min="5138" max="5138" width="11.42578125" style="378" customWidth="1"/>
    <col min="5139" max="5139" width="15.85546875" style="378" customWidth="1"/>
    <col min="5140" max="5140" width="21.140625" style="378" customWidth="1"/>
    <col min="5141" max="5144" width="0" style="378" hidden="1" customWidth="1"/>
    <col min="5145" max="5146" width="21.140625" style="378" customWidth="1"/>
    <col min="5147" max="5367" width="9.140625" style="378" customWidth="1"/>
    <col min="5368" max="5368" width="18.5703125" style="378" customWidth="1"/>
    <col min="5369" max="5369" width="12.85546875" style="378" customWidth="1"/>
    <col min="5370" max="5370" width="13.28515625" style="378" customWidth="1"/>
    <col min="5371" max="5371" width="12.5703125" style="378" customWidth="1"/>
    <col min="5372" max="5372" width="10.42578125" style="378" customWidth="1"/>
    <col min="5373" max="5373" width="9" style="378" customWidth="1"/>
    <col min="5374" max="5374" width="14" style="378" customWidth="1"/>
    <col min="5375" max="5375" width="0" style="378" hidden="1" customWidth="1"/>
    <col min="5376" max="5376" width="23.7109375" style="378"/>
    <col min="5377" max="5377" width="36.7109375" style="378" customWidth="1"/>
    <col min="5378" max="5389" width="0" style="378" hidden="1" customWidth="1"/>
    <col min="5390" max="5391" width="9.7109375" style="378" customWidth="1"/>
    <col min="5392" max="5392" width="12.28515625" style="378" customWidth="1"/>
    <col min="5393" max="5393" width="11.85546875" style="378" customWidth="1"/>
    <col min="5394" max="5394" width="11.42578125" style="378" customWidth="1"/>
    <col min="5395" max="5395" width="15.85546875" style="378" customWidth="1"/>
    <col min="5396" max="5396" width="21.140625" style="378" customWidth="1"/>
    <col min="5397" max="5400" width="0" style="378" hidden="1" customWidth="1"/>
    <col min="5401" max="5402" width="21.140625" style="378" customWidth="1"/>
    <col min="5403" max="5623" width="9.140625" style="378" customWidth="1"/>
    <col min="5624" max="5624" width="18.5703125" style="378" customWidth="1"/>
    <col min="5625" max="5625" width="12.85546875" style="378" customWidth="1"/>
    <col min="5626" max="5626" width="13.28515625" style="378" customWidth="1"/>
    <col min="5627" max="5627" width="12.5703125" style="378" customWidth="1"/>
    <col min="5628" max="5628" width="10.42578125" style="378" customWidth="1"/>
    <col min="5629" max="5629" width="9" style="378" customWidth="1"/>
    <col min="5630" max="5630" width="14" style="378" customWidth="1"/>
    <col min="5631" max="5631" width="0" style="378" hidden="1" customWidth="1"/>
    <col min="5632" max="5632" width="23.7109375" style="378"/>
    <col min="5633" max="5633" width="36.7109375" style="378" customWidth="1"/>
    <col min="5634" max="5645" width="0" style="378" hidden="1" customWidth="1"/>
    <col min="5646" max="5647" width="9.7109375" style="378" customWidth="1"/>
    <col min="5648" max="5648" width="12.28515625" style="378" customWidth="1"/>
    <col min="5649" max="5649" width="11.85546875" style="378" customWidth="1"/>
    <col min="5650" max="5650" width="11.42578125" style="378" customWidth="1"/>
    <col min="5651" max="5651" width="15.85546875" style="378" customWidth="1"/>
    <col min="5652" max="5652" width="21.140625" style="378" customWidth="1"/>
    <col min="5653" max="5656" width="0" style="378" hidden="1" customWidth="1"/>
    <col min="5657" max="5658" width="21.140625" style="378" customWidth="1"/>
    <col min="5659" max="5879" width="9.140625" style="378" customWidth="1"/>
    <col min="5880" max="5880" width="18.5703125" style="378" customWidth="1"/>
    <col min="5881" max="5881" width="12.85546875" style="378" customWidth="1"/>
    <col min="5882" max="5882" width="13.28515625" style="378" customWidth="1"/>
    <col min="5883" max="5883" width="12.5703125" style="378" customWidth="1"/>
    <col min="5884" max="5884" width="10.42578125" style="378" customWidth="1"/>
    <col min="5885" max="5885" width="9" style="378" customWidth="1"/>
    <col min="5886" max="5886" width="14" style="378" customWidth="1"/>
    <col min="5887" max="5887" width="0" style="378" hidden="1" customWidth="1"/>
    <col min="5888" max="5888" width="23.7109375" style="378"/>
    <col min="5889" max="5889" width="36.7109375" style="378" customWidth="1"/>
    <col min="5890" max="5901" width="0" style="378" hidden="1" customWidth="1"/>
    <col min="5902" max="5903" width="9.7109375" style="378" customWidth="1"/>
    <col min="5904" max="5904" width="12.28515625" style="378" customWidth="1"/>
    <col min="5905" max="5905" width="11.85546875" style="378" customWidth="1"/>
    <col min="5906" max="5906" width="11.42578125" style="378" customWidth="1"/>
    <col min="5907" max="5907" width="15.85546875" style="378" customWidth="1"/>
    <col min="5908" max="5908" width="21.140625" style="378" customWidth="1"/>
    <col min="5909" max="5912" width="0" style="378" hidden="1" customWidth="1"/>
    <col min="5913" max="5914" width="21.140625" style="378" customWidth="1"/>
    <col min="5915" max="6135" width="9.140625" style="378" customWidth="1"/>
    <col min="6136" max="6136" width="18.5703125" style="378" customWidth="1"/>
    <col min="6137" max="6137" width="12.85546875" style="378" customWidth="1"/>
    <col min="6138" max="6138" width="13.28515625" style="378" customWidth="1"/>
    <col min="6139" max="6139" width="12.5703125" style="378" customWidth="1"/>
    <col min="6140" max="6140" width="10.42578125" style="378" customWidth="1"/>
    <col min="6141" max="6141" width="9" style="378" customWidth="1"/>
    <col min="6142" max="6142" width="14" style="378" customWidth="1"/>
    <col min="6143" max="6143" width="0" style="378" hidden="1" customWidth="1"/>
    <col min="6144" max="6144" width="23.7109375" style="378"/>
    <col min="6145" max="6145" width="36.7109375" style="378" customWidth="1"/>
    <col min="6146" max="6157" width="0" style="378" hidden="1" customWidth="1"/>
    <col min="6158" max="6159" width="9.7109375" style="378" customWidth="1"/>
    <col min="6160" max="6160" width="12.28515625" style="378" customWidth="1"/>
    <col min="6161" max="6161" width="11.85546875" style="378" customWidth="1"/>
    <col min="6162" max="6162" width="11.42578125" style="378" customWidth="1"/>
    <col min="6163" max="6163" width="15.85546875" style="378" customWidth="1"/>
    <col min="6164" max="6164" width="21.140625" style="378" customWidth="1"/>
    <col min="6165" max="6168" width="0" style="378" hidden="1" customWidth="1"/>
    <col min="6169" max="6170" width="21.140625" style="378" customWidth="1"/>
    <col min="6171" max="6391" width="9.140625" style="378" customWidth="1"/>
    <col min="6392" max="6392" width="18.5703125" style="378" customWidth="1"/>
    <col min="6393" max="6393" width="12.85546875" style="378" customWidth="1"/>
    <col min="6394" max="6394" width="13.28515625" style="378" customWidth="1"/>
    <col min="6395" max="6395" width="12.5703125" style="378" customWidth="1"/>
    <col min="6396" max="6396" width="10.42578125" style="378" customWidth="1"/>
    <col min="6397" max="6397" width="9" style="378" customWidth="1"/>
    <col min="6398" max="6398" width="14" style="378" customWidth="1"/>
    <col min="6399" max="6399" width="0" style="378" hidden="1" customWidth="1"/>
    <col min="6400" max="6400" width="23.7109375" style="378"/>
    <col min="6401" max="6401" width="36.7109375" style="378" customWidth="1"/>
    <col min="6402" max="6413" width="0" style="378" hidden="1" customWidth="1"/>
    <col min="6414" max="6415" width="9.7109375" style="378" customWidth="1"/>
    <col min="6416" max="6416" width="12.28515625" style="378" customWidth="1"/>
    <col min="6417" max="6417" width="11.85546875" style="378" customWidth="1"/>
    <col min="6418" max="6418" width="11.42578125" style="378" customWidth="1"/>
    <col min="6419" max="6419" width="15.85546875" style="378" customWidth="1"/>
    <col min="6420" max="6420" width="21.140625" style="378" customWidth="1"/>
    <col min="6421" max="6424" width="0" style="378" hidden="1" customWidth="1"/>
    <col min="6425" max="6426" width="21.140625" style="378" customWidth="1"/>
    <col min="6427" max="6647" width="9.140625" style="378" customWidth="1"/>
    <col min="6648" max="6648" width="18.5703125" style="378" customWidth="1"/>
    <col min="6649" max="6649" width="12.85546875" style="378" customWidth="1"/>
    <col min="6650" max="6650" width="13.28515625" style="378" customWidth="1"/>
    <col min="6651" max="6651" width="12.5703125" style="378" customWidth="1"/>
    <col min="6652" max="6652" width="10.42578125" style="378" customWidth="1"/>
    <col min="6653" max="6653" width="9" style="378" customWidth="1"/>
    <col min="6654" max="6654" width="14" style="378" customWidth="1"/>
    <col min="6655" max="6655" width="0" style="378" hidden="1" customWidth="1"/>
    <col min="6656" max="6656" width="23.7109375" style="378"/>
    <col min="6657" max="6657" width="36.7109375" style="378" customWidth="1"/>
    <col min="6658" max="6669" width="0" style="378" hidden="1" customWidth="1"/>
    <col min="6670" max="6671" width="9.7109375" style="378" customWidth="1"/>
    <col min="6672" max="6672" width="12.28515625" style="378" customWidth="1"/>
    <col min="6673" max="6673" width="11.85546875" style="378" customWidth="1"/>
    <col min="6674" max="6674" width="11.42578125" style="378" customWidth="1"/>
    <col min="6675" max="6675" width="15.85546875" style="378" customWidth="1"/>
    <col min="6676" max="6676" width="21.140625" style="378" customWidth="1"/>
    <col min="6677" max="6680" width="0" style="378" hidden="1" customWidth="1"/>
    <col min="6681" max="6682" width="21.140625" style="378" customWidth="1"/>
    <col min="6683" max="6903" width="9.140625" style="378" customWidth="1"/>
    <col min="6904" max="6904" width="18.5703125" style="378" customWidth="1"/>
    <col min="6905" max="6905" width="12.85546875" style="378" customWidth="1"/>
    <col min="6906" max="6906" width="13.28515625" style="378" customWidth="1"/>
    <col min="6907" max="6907" width="12.5703125" style="378" customWidth="1"/>
    <col min="6908" max="6908" width="10.42578125" style="378" customWidth="1"/>
    <col min="6909" max="6909" width="9" style="378" customWidth="1"/>
    <col min="6910" max="6910" width="14" style="378" customWidth="1"/>
    <col min="6911" max="6911" width="0" style="378" hidden="1" customWidth="1"/>
    <col min="6912" max="6912" width="23.7109375" style="378"/>
    <col min="6913" max="6913" width="36.7109375" style="378" customWidth="1"/>
    <col min="6914" max="6925" width="0" style="378" hidden="1" customWidth="1"/>
    <col min="6926" max="6927" width="9.7109375" style="378" customWidth="1"/>
    <col min="6928" max="6928" width="12.28515625" style="378" customWidth="1"/>
    <col min="6929" max="6929" width="11.85546875" style="378" customWidth="1"/>
    <col min="6930" max="6930" width="11.42578125" style="378" customWidth="1"/>
    <col min="6931" max="6931" width="15.85546875" style="378" customWidth="1"/>
    <col min="6932" max="6932" width="21.140625" style="378" customWidth="1"/>
    <col min="6933" max="6936" width="0" style="378" hidden="1" customWidth="1"/>
    <col min="6937" max="6938" width="21.140625" style="378" customWidth="1"/>
    <col min="6939" max="7159" width="9.140625" style="378" customWidth="1"/>
    <col min="7160" max="7160" width="18.5703125" style="378" customWidth="1"/>
    <col min="7161" max="7161" width="12.85546875" style="378" customWidth="1"/>
    <col min="7162" max="7162" width="13.28515625" style="378" customWidth="1"/>
    <col min="7163" max="7163" width="12.5703125" style="378" customWidth="1"/>
    <col min="7164" max="7164" width="10.42578125" style="378" customWidth="1"/>
    <col min="7165" max="7165" width="9" style="378" customWidth="1"/>
    <col min="7166" max="7166" width="14" style="378" customWidth="1"/>
    <col min="7167" max="7167" width="0" style="378" hidden="1" customWidth="1"/>
    <col min="7168" max="7168" width="23.7109375" style="378"/>
    <col min="7169" max="7169" width="36.7109375" style="378" customWidth="1"/>
    <col min="7170" max="7181" width="0" style="378" hidden="1" customWidth="1"/>
    <col min="7182" max="7183" width="9.7109375" style="378" customWidth="1"/>
    <col min="7184" max="7184" width="12.28515625" style="378" customWidth="1"/>
    <col min="7185" max="7185" width="11.85546875" style="378" customWidth="1"/>
    <col min="7186" max="7186" width="11.42578125" style="378" customWidth="1"/>
    <col min="7187" max="7187" width="15.85546875" style="378" customWidth="1"/>
    <col min="7188" max="7188" width="21.140625" style="378" customWidth="1"/>
    <col min="7189" max="7192" width="0" style="378" hidden="1" customWidth="1"/>
    <col min="7193" max="7194" width="21.140625" style="378" customWidth="1"/>
    <col min="7195" max="7415" width="9.140625" style="378" customWidth="1"/>
    <col min="7416" max="7416" width="18.5703125" style="378" customWidth="1"/>
    <col min="7417" max="7417" width="12.85546875" style="378" customWidth="1"/>
    <col min="7418" max="7418" width="13.28515625" style="378" customWidth="1"/>
    <col min="7419" max="7419" width="12.5703125" style="378" customWidth="1"/>
    <col min="7420" max="7420" width="10.42578125" style="378" customWidth="1"/>
    <col min="7421" max="7421" width="9" style="378" customWidth="1"/>
    <col min="7422" max="7422" width="14" style="378" customWidth="1"/>
    <col min="7423" max="7423" width="0" style="378" hidden="1" customWidth="1"/>
    <col min="7424" max="7424" width="23.7109375" style="378"/>
    <col min="7425" max="7425" width="36.7109375" style="378" customWidth="1"/>
    <col min="7426" max="7437" width="0" style="378" hidden="1" customWidth="1"/>
    <col min="7438" max="7439" width="9.7109375" style="378" customWidth="1"/>
    <col min="7440" max="7440" width="12.28515625" style="378" customWidth="1"/>
    <col min="7441" max="7441" width="11.85546875" style="378" customWidth="1"/>
    <col min="7442" max="7442" width="11.42578125" style="378" customWidth="1"/>
    <col min="7443" max="7443" width="15.85546875" style="378" customWidth="1"/>
    <col min="7444" max="7444" width="21.140625" style="378" customWidth="1"/>
    <col min="7445" max="7448" width="0" style="378" hidden="1" customWidth="1"/>
    <col min="7449" max="7450" width="21.140625" style="378" customWidth="1"/>
    <col min="7451" max="7671" width="9.140625" style="378" customWidth="1"/>
    <col min="7672" max="7672" width="18.5703125" style="378" customWidth="1"/>
    <col min="7673" max="7673" width="12.85546875" style="378" customWidth="1"/>
    <col min="7674" max="7674" width="13.28515625" style="378" customWidth="1"/>
    <col min="7675" max="7675" width="12.5703125" style="378" customWidth="1"/>
    <col min="7676" max="7676" width="10.42578125" style="378" customWidth="1"/>
    <col min="7677" max="7677" width="9" style="378" customWidth="1"/>
    <col min="7678" max="7678" width="14" style="378" customWidth="1"/>
    <col min="7679" max="7679" width="0" style="378" hidden="1" customWidth="1"/>
    <col min="7680" max="7680" width="23.7109375" style="378"/>
    <col min="7681" max="7681" width="36.7109375" style="378" customWidth="1"/>
    <col min="7682" max="7693" width="0" style="378" hidden="1" customWidth="1"/>
    <col min="7694" max="7695" width="9.7109375" style="378" customWidth="1"/>
    <col min="7696" max="7696" width="12.28515625" style="378" customWidth="1"/>
    <col min="7697" max="7697" width="11.85546875" style="378" customWidth="1"/>
    <col min="7698" max="7698" width="11.42578125" style="378" customWidth="1"/>
    <col min="7699" max="7699" width="15.85546875" style="378" customWidth="1"/>
    <col min="7700" max="7700" width="21.140625" style="378" customWidth="1"/>
    <col min="7701" max="7704" width="0" style="378" hidden="1" customWidth="1"/>
    <col min="7705" max="7706" width="21.140625" style="378" customWidth="1"/>
    <col min="7707" max="7927" width="9.140625" style="378" customWidth="1"/>
    <col min="7928" max="7928" width="18.5703125" style="378" customWidth="1"/>
    <col min="7929" max="7929" width="12.85546875" style="378" customWidth="1"/>
    <col min="7930" max="7930" width="13.28515625" style="378" customWidth="1"/>
    <col min="7931" max="7931" width="12.5703125" style="378" customWidth="1"/>
    <col min="7932" max="7932" width="10.42578125" style="378" customWidth="1"/>
    <col min="7933" max="7933" width="9" style="378" customWidth="1"/>
    <col min="7934" max="7934" width="14" style="378" customWidth="1"/>
    <col min="7935" max="7935" width="0" style="378" hidden="1" customWidth="1"/>
    <col min="7936" max="7936" width="23.7109375" style="378"/>
    <col min="7937" max="7937" width="36.7109375" style="378" customWidth="1"/>
    <col min="7938" max="7949" width="0" style="378" hidden="1" customWidth="1"/>
    <col min="7950" max="7951" width="9.7109375" style="378" customWidth="1"/>
    <col min="7952" max="7952" width="12.28515625" style="378" customWidth="1"/>
    <col min="7953" max="7953" width="11.85546875" style="378" customWidth="1"/>
    <col min="7954" max="7954" width="11.42578125" style="378" customWidth="1"/>
    <col min="7955" max="7955" width="15.85546875" style="378" customWidth="1"/>
    <col min="7956" max="7956" width="21.140625" style="378" customWidth="1"/>
    <col min="7957" max="7960" width="0" style="378" hidden="1" customWidth="1"/>
    <col min="7961" max="7962" width="21.140625" style="378" customWidth="1"/>
    <col min="7963" max="8183" width="9.140625" style="378" customWidth="1"/>
    <col min="8184" max="8184" width="18.5703125" style="378" customWidth="1"/>
    <col min="8185" max="8185" width="12.85546875" style="378" customWidth="1"/>
    <col min="8186" max="8186" width="13.28515625" style="378" customWidth="1"/>
    <col min="8187" max="8187" width="12.5703125" style="378" customWidth="1"/>
    <col min="8188" max="8188" width="10.42578125" style="378" customWidth="1"/>
    <col min="8189" max="8189" width="9" style="378" customWidth="1"/>
    <col min="8190" max="8190" width="14" style="378" customWidth="1"/>
    <col min="8191" max="8191" width="0" style="378" hidden="1" customWidth="1"/>
    <col min="8192" max="8192" width="23.7109375" style="378"/>
    <col min="8193" max="8193" width="36.7109375" style="378" customWidth="1"/>
    <col min="8194" max="8205" width="0" style="378" hidden="1" customWidth="1"/>
    <col min="8206" max="8207" width="9.7109375" style="378" customWidth="1"/>
    <col min="8208" max="8208" width="12.28515625" style="378" customWidth="1"/>
    <col min="8209" max="8209" width="11.85546875" style="378" customWidth="1"/>
    <col min="8210" max="8210" width="11.42578125" style="378" customWidth="1"/>
    <col min="8211" max="8211" width="15.85546875" style="378" customWidth="1"/>
    <col min="8212" max="8212" width="21.140625" style="378" customWidth="1"/>
    <col min="8213" max="8216" width="0" style="378" hidden="1" customWidth="1"/>
    <col min="8217" max="8218" width="21.140625" style="378" customWidth="1"/>
    <col min="8219" max="8439" width="9.140625" style="378" customWidth="1"/>
    <col min="8440" max="8440" width="18.5703125" style="378" customWidth="1"/>
    <col min="8441" max="8441" width="12.85546875" style="378" customWidth="1"/>
    <col min="8442" max="8442" width="13.28515625" style="378" customWidth="1"/>
    <col min="8443" max="8443" width="12.5703125" style="378" customWidth="1"/>
    <col min="8444" max="8444" width="10.42578125" style="378" customWidth="1"/>
    <col min="8445" max="8445" width="9" style="378" customWidth="1"/>
    <col min="8446" max="8446" width="14" style="378" customWidth="1"/>
    <col min="8447" max="8447" width="0" style="378" hidden="1" customWidth="1"/>
    <col min="8448" max="8448" width="23.7109375" style="378"/>
    <col min="8449" max="8449" width="36.7109375" style="378" customWidth="1"/>
    <col min="8450" max="8461" width="0" style="378" hidden="1" customWidth="1"/>
    <col min="8462" max="8463" width="9.7109375" style="378" customWidth="1"/>
    <col min="8464" max="8464" width="12.28515625" style="378" customWidth="1"/>
    <col min="8465" max="8465" width="11.85546875" style="378" customWidth="1"/>
    <col min="8466" max="8466" width="11.42578125" style="378" customWidth="1"/>
    <col min="8467" max="8467" width="15.85546875" style="378" customWidth="1"/>
    <col min="8468" max="8468" width="21.140625" style="378" customWidth="1"/>
    <col min="8469" max="8472" width="0" style="378" hidden="1" customWidth="1"/>
    <col min="8473" max="8474" width="21.140625" style="378" customWidth="1"/>
    <col min="8475" max="8695" width="9.140625" style="378" customWidth="1"/>
    <col min="8696" max="8696" width="18.5703125" style="378" customWidth="1"/>
    <col min="8697" max="8697" width="12.85546875" style="378" customWidth="1"/>
    <col min="8698" max="8698" width="13.28515625" style="378" customWidth="1"/>
    <col min="8699" max="8699" width="12.5703125" style="378" customWidth="1"/>
    <col min="8700" max="8700" width="10.42578125" style="378" customWidth="1"/>
    <col min="8701" max="8701" width="9" style="378" customWidth="1"/>
    <col min="8702" max="8702" width="14" style="378" customWidth="1"/>
    <col min="8703" max="8703" width="0" style="378" hidden="1" customWidth="1"/>
    <col min="8704" max="8704" width="23.7109375" style="378"/>
    <col min="8705" max="8705" width="36.7109375" style="378" customWidth="1"/>
    <col min="8706" max="8717" width="0" style="378" hidden="1" customWidth="1"/>
    <col min="8718" max="8719" width="9.7109375" style="378" customWidth="1"/>
    <col min="8720" max="8720" width="12.28515625" style="378" customWidth="1"/>
    <col min="8721" max="8721" width="11.85546875" style="378" customWidth="1"/>
    <col min="8722" max="8722" width="11.42578125" style="378" customWidth="1"/>
    <col min="8723" max="8723" width="15.85546875" style="378" customWidth="1"/>
    <col min="8724" max="8724" width="21.140625" style="378" customWidth="1"/>
    <col min="8725" max="8728" width="0" style="378" hidden="1" customWidth="1"/>
    <col min="8729" max="8730" width="21.140625" style="378" customWidth="1"/>
    <col min="8731" max="8951" width="9.140625" style="378" customWidth="1"/>
    <col min="8952" max="8952" width="18.5703125" style="378" customWidth="1"/>
    <col min="8953" max="8953" width="12.85546875" style="378" customWidth="1"/>
    <col min="8954" max="8954" width="13.28515625" style="378" customWidth="1"/>
    <col min="8955" max="8955" width="12.5703125" style="378" customWidth="1"/>
    <col min="8956" max="8956" width="10.42578125" style="378" customWidth="1"/>
    <col min="8957" max="8957" width="9" style="378" customWidth="1"/>
    <col min="8958" max="8958" width="14" style="378" customWidth="1"/>
    <col min="8959" max="8959" width="0" style="378" hidden="1" customWidth="1"/>
    <col min="8960" max="8960" width="23.7109375" style="378"/>
    <col min="8961" max="8961" width="36.7109375" style="378" customWidth="1"/>
    <col min="8962" max="8973" width="0" style="378" hidden="1" customWidth="1"/>
    <col min="8974" max="8975" width="9.7109375" style="378" customWidth="1"/>
    <col min="8976" max="8976" width="12.28515625" style="378" customWidth="1"/>
    <col min="8977" max="8977" width="11.85546875" style="378" customWidth="1"/>
    <col min="8978" max="8978" width="11.42578125" style="378" customWidth="1"/>
    <col min="8979" max="8979" width="15.85546875" style="378" customWidth="1"/>
    <col min="8980" max="8980" width="21.140625" style="378" customWidth="1"/>
    <col min="8981" max="8984" width="0" style="378" hidden="1" customWidth="1"/>
    <col min="8985" max="8986" width="21.140625" style="378" customWidth="1"/>
    <col min="8987" max="9207" width="9.140625" style="378" customWidth="1"/>
    <col min="9208" max="9208" width="18.5703125" style="378" customWidth="1"/>
    <col min="9209" max="9209" width="12.85546875" style="378" customWidth="1"/>
    <col min="9210" max="9210" width="13.28515625" style="378" customWidth="1"/>
    <col min="9211" max="9211" width="12.5703125" style="378" customWidth="1"/>
    <col min="9212" max="9212" width="10.42578125" style="378" customWidth="1"/>
    <col min="9213" max="9213" width="9" style="378" customWidth="1"/>
    <col min="9214" max="9214" width="14" style="378" customWidth="1"/>
    <col min="9215" max="9215" width="0" style="378" hidden="1" customWidth="1"/>
    <col min="9216" max="9216" width="23.7109375" style="378"/>
    <col min="9217" max="9217" width="36.7109375" style="378" customWidth="1"/>
    <col min="9218" max="9229" width="0" style="378" hidden="1" customWidth="1"/>
    <col min="9230" max="9231" width="9.7109375" style="378" customWidth="1"/>
    <col min="9232" max="9232" width="12.28515625" style="378" customWidth="1"/>
    <col min="9233" max="9233" width="11.85546875" style="378" customWidth="1"/>
    <col min="9234" max="9234" width="11.42578125" style="378" customWidth="1"/>
    <col min="9235" max="9235" width="15.85546875" style="378" customWidth="1"/>
    <col min="9236" max="9236" width="21.140625" style="378" customWidth="1"/>
    <col min="9237" max="9240" width="0" style="378" hidden="1" customWidth="1"/>
    <col min="9241" max="9242" width="21.140625" style="378" customWidth="1"/>
    <col min="9243" max="9463" width="9.140625" style="378" customWidth="1"/>
    <col min="9464" max="9464" width="18.5703125" style="378" customWidth="1"/>
    <col min="9465" max="9465" width="12.85546875" style="378" customWidth="1"/>
    <col min="9466" max="9466" width="13.28515625" style="378" customWidth="1"/>
    <col min="9467" max="9467" width="12.5703125" style="378" customWidth="1"/>
    <col min="9468" max="9468" width="10.42578125" style="378" customWidth="1"/>
    <col min="9469" max="9469" width="9" style="378" customWidth="1"/>
    <col min="9470" max="9470" width="14" style="378" customWidth="1"/>
    <col min="9471" max="9471" width="0" style="378" hidden="1" customWidth="1"/>
    <col min="9472" max="9472" width="23.7109375" style="378"/>
    <col min="9473" max="9473" width="36.7109375" style="378" customWidth="1"/>
    <col min="9474" max="9485" width="0" style="378" hidden="1" customWidth="1"/>
    <col min="9486" max="9487" width="9.7109375" style="378" customWidth="1"/>
    <col min="9488" max="9488" width="12.28515625" style="378" customWidth="1"/>
    <col min="9489" max="9489" width="11.85546875" style="378" customWidth="1"/>
    <col min="9490" max="9490" width="11.42578125" style="378" customWidth="1"/>
    <col min="9491" max="9491" width="15.85546875" style="378" customWidth="1"/>
    <col min="9492" max="9492" width="21.140625" style="378" customWidth="1"/>
    <col min="9493" max="9496" width="0" style="378" hidden="1" customWidth="1"/>
    <col min="9497" max="9498" width="21.140625" style="378" customWidth="1"/>
    <col min="9499" max="9719" width="9.140625" style="378" customWidth="1"/>
    <col min="9720" max="9720" width="18.5703125" style="378" customWidth="1"/>
    <col min="9721" max="9721" width="12.85546875" style="378" customWidth="1"/>
    <col min="9722" max="9722" width="13.28515625" style="378" customWidth="1"/>
    <col min="9723" max="9723" width="12.5703125" style="378" customWidth="1"/>
    <col min="9724" max="9724" width="10.42578125" style="378" customWidth="1"/>
    <col min="9725" max="9725" width="9" style="378" customWidth="1"/>
    <col min="9726" max="9726" width="14" style="378" customWidth="1"/>
    <col min="9727" max="9727" width="0" style="378" hidden="1" customWidth="1"/>
    <col min="9728" max="9728" width="23.7109375" style="378"/>
    <col min="9729" max="9729" width="36.7109375" style="378" customWidth="1"/>
    <col min="9730" max="9741" width="0" style="378" hidden="1" customWidth="1"/>
    <col min="9742" max="9743" width="9.7109375" style="378" customWidth="1"/>
    <col min="9744" max="9744" width="12.28515625" style="378" customWidth="1"/>
    <col min="9745" max="9745" width="11.85546875" style="378" customWidth="1"/>
    <col min="9746" max="9746" width="11.42578125" style="378" customWidth="1"/>
    <col min="9747" max="9747" width="15.85546875" style="378" customWidth="1"/>
    <col min="9748" max="9748" width="21.140625" style="378" customWidth="1"/>
    <col min="9749" max="9752" width="0" style="378" hidden="1" customWidth="1"/>
    <col min="9753" max="9754" width="21.140625" style="378" customWidth="1"/>
    <col min="9755" max="9975" width="9.140625" style="378" customWidth="1"/>
    <col min="9976" max="9976" width="18.5703125" style="378" customWidth="1"/>
    <col min="9977" max="9977" width="12.85546875" style="378" customWidth="1"/>
    <col min="9978" max="9978" width="13.28515625" style="378" customWidth="1"/>
    <col min="9979" max="9979" width="12.5703125" style="378" customWidth="1"/>
    <col min="9980" max="9980" width="10.42578125" style="378" customWidth="1"/>
    <col min="9981" max="9981" width="9" style="378" customWidth="1"/>
    <col min="9982" max="9982" width="14" style="378" customWidth="1"/>
    <col min="9983" max="9983" width="0" style="378" hidden="1" customWidth="1"/>
    <col min="9984" max="9984" width="23.7109375" style="378"/>
    <col min="9985" max="9985" width="36.7109375" style="378" customWidth="1"/>
    <col min="9986" max="9997" width="0" style="378" hidden="1" customWidth="1"/>
    <col min="9998" max="9999" width="9.7109375" style="378" customWidth="1"/>
    <col min="10000" max="10000" width="12.28515625" style="378" customWidth="1"/>
    <col min="10001" max="10001" width="11.85546875" style="378" customWidth="1"/>
    <col min="10002" max="10002" width="11.42578125" style="378" customWidth="1"/>
    <col min="10003" max="10003" width="15.85546875" style="378" customWidth="1"/>
    <col min="10004" max="10004" width="21.140625" style="378" customWidth="1"/>
    <col min="10005" max="10008" width="0" style="378" hidden="1" customWidth="1"/>
    <col min="10009" max="10010" width="21.140625" style="378" customWidth="1"/>
    <col min="10011" max="10231" width="9.140625" style="378" customWidth="1"/>
    <col min="10232" max="10232" width="18.5703125" style="378" customWidth="1"/>
    <col min="10233" max="10233" width="12.85546875" style="378" customWidth="1"/>
    <col min="10234" max="10234" width="13.28515625" style="378" customWidth="1"/>
    <col min="10235" max="10235" width="12.5703125" style="378" customWidth="1"/>
    <col min="10236" max="10236" width="10.42578125" style="378" customWidth="1"/>
    <col min="10237" max="10237" width="9" style="378" customWidth="1"/>
    <col min="10238" max="10238" width="14" style="378" customWidth="1"/>
    <col min="10239" max="10239" width="0" style="378" hidden="1" customWidth="1"/>
    <col min="10240" max="10240" width="23.7109375" style="378"/>
    <col min="10241" max="10241" width="36.7109375" style="378" customWidth="1"/>
    <col min="10242" max="10253" width="0" style="378" hidden="1" customWidth="1"/>
    <col min="10254" max="10255" width="9.7109375" style="378" customWidth="1"/>
    <col min="10256" max="10256" width="12.28515625" style="378" customWidth="1"/>
    <col min="10257" max="10257" width="11.85546875" style="378" customWidth="1"/>
    <col min="10258" max="10258" width="11.42578125" style="378" customWidth="1"/>
    <col min="10259" max="10259" width="15.85546875" style="378" customWidth="1"/>
    <col min="10260" max="10260" width="21.140625" style="378" customWidth="1"/>
    <col min="10261" max="10264" width="0" style="378" hidden="1" customWidth="1"/>
    <col min="10265" max="10266" width="21.140625" style="378" customWidth="1"/>
    <col min="10267" max="10487" width="9.140625" style="378" customWidth="1"/>
    <col min="10488" max="10488" width="18.5703125" style="378" customWidth="1"/>
    <col min="10489" max="10489" width="12.85546875" style="378" customWidth="1"/>
    <col min="10490" max="10490" width="13.28515625" style="378" customWidth="1"/>
    <col min="10491" max="10491" width="12.5703125" style="378" customWidth="1"/>
    <col min="10492" max="10492" width="10.42578125" style="378" customWidth="1"/>
    <col min="10493" max="10493" width="9" style="378" customWidth="1"/>
    <col min="10494" max="10494" width="14" style="378" customWidth="1"/>
    <col min="10495" max="10495" width="0" style="378" hidden="1" customWidth="1"/>
    <col min="10496" max="10496" width="23.7109375" style="378"/>
    <col min="10497" max="10497" width="36.7109375" style="378" customWidth="1"/>
    <col min="10498" max="10509" width="0" style="378" hidden="1" customWidth="1"/>
    <col min="10510" max="10511" width="9.7109375" style="378" customWidth="1"/>
    <col min="10512" max="10512" width="12.28515625" style="378" customWidth="1"/>
    <col min="10513" max="10513" width="11.85546875" style="378" customWidth="1"/>
    <col min="10514" max="10514" width="11.42578125" style="378" customWidth="1"/>
    <col min="10515" max="10515" width="15.85546875" style="378" customWidth="1"/>
    <col min="10516" max="10516" width="21.140625" style="378" customWidth="1"/>
    <col min="10517" max="10520" width="0" style="378" hidden="1" customWidth="1"/>
    <col min="10521" max="10522" width="21.140625" style="378" customWidth="1"/>
    <col min="10523" max="10743" width="9.140625" style="378" customWidth="1"/>
    <col min="10744" max="10744" width="18.5703125" style="378" customWidth="1"/>
    <col min="10745" max="10745" width="12.85546875" style="378" customWidth="1"/>
    <col min="10746" max="10746" width="13.28515625" style="378" customWidth="1"/>
    <col min="10747" max="10747" width="12.5703125" style="378" customWidth="1"/>
    <col min="10748" max="10748" width="10.42578125" style="378" customWidth="1"/>
    <col min="10749" max="10749" width="9" style="378" customWidth="1"/>
    <col min="10750" max="10750" width="14" style="378" customWidth="1"/>
    <col min="10751" max="10751" width="0" style="378" hidden="1" customWidth="1"/>
    <col min="10752" max="10752" width="23.7109375" style="378"/>
    <col min="10753" max="10753" width="36.7109375" style="378" customWidth="1"/>
    <col min="10754" max="10765" width="0" style="378" hidden="1" customWidth="1"/>
    <col min="10766" max="10767" width="9.7109375" style="378" customWidth="1"/>
    <col min="10768" max="10768" width="12.28515625" style="378" customWidth="1"/>
    <col min="10769" max="10769" width="11.85546875" style="378" customWidth="1"/>
    <col min="10770" max="10770" width="11.42578125" style="378" customWidth="1"/>
    <col min="10771" max="10771" width="15.85546875" style="378" customWidth="1"/>
    <col min="10772" max="10772" width="21.140625" style="378" customWidth="1"/>
    <col min="10773" max="10776" width="0" style="378" hidden="1" customWidth="1"/>
    <col min="10777" max="10778" width="21.140625" style="378" customWidth="1"/>
    <col min="10779" max="10999" width="9.140625" style="378" customWidth="1"/>
    <col min="11000" max="11000" width="18.5703125" style="378" customWidth="1"/>
    <col min="11001" max="11001" width="12.85546875" style="378" customWidth="1"/>
    <col min="11002" max="11002" width="13.28515625" style="378" customWidth="1"/>
    <col min="11003" max="11003" width="12.5703125" style="378" customWidth="1"/>
    <col min="11004" max="11004" width="10.42578125" style="378" customWidth="1"/>
    <col min="11005" max="11005" width="9" style="378" customWidth="1"/>
    <col min="11006" max="11006" width="14" style="378" customWidth="1"/>
    <col min="11007" max="11007" width="0" style="378" hidden="1" customWidth="1"/>
    <col min="11008" max="11008" width="23.7109375" style="378"/>
    <col min="11009" max="11009" width="36.7109375" style="378" customWidth="1"/>
    <col min="11010" max="11021" width="0" style="378" hidden="1" customWidth="1"/>
    <col min="11022" max="11023" width="9.7109375" style="378" customWidth="1"/>
    <col min="11024" max="11024" width="12.28515625" style="378" customWidth="1"/>
    <col min="11025" max="11025" width="11.85546875" style="378" customWidth="1"/>
    <col min="11026" max="11026" width="11.42578125" style="378" customWidth="1"/>
    <col min="11027" max="11027" width="15.85546875" style="378" customWidth="1"/>
    <col min="11028" max="11028" width="21.140625" style="378" customWidth="1"/>
    <col min="11029" max="11032" width="0" style="378" hidden="1" customWidth="1"/>
    <col min="11033" max="11034" width="21.140625" style="378" customWidth="1"/>
    <col min="11035" max="11255" width="9.140625" style="378" customWidth="1"/>
    <col min="11256" max="11256" width="18.5703125" style="378" customWidth="1"/>
    <col min="11257" max="11257" width="12.85546875" style="378" customWidth="1"/>
    <col min="11258" max="11258" width="13.28515625" style="378" customWidth="1"/>
    <col min="11259" max="11259" width="12.5703125" style="378" customWidth="1"/>
    <col min="11260" max="11260" width="10.42578125" style="378" customWidth="1"/>
    <col min="11261" max="11261" width="9" style="378" customWidth="1"/>
    <col min="11262" max="11262" width="14" style="378" customWidth="1"/>
    <col min="11263" max="11263" width="0" style="378" hidden="1" customWidth="1"/>
    <col min="11264" max="11264" width="23.7109375" style="378"/>
    <col min="11265" max="11265" width="36.7109375" style="378" customWidth="1"/>
    <col min="11266" max="11277" width="0" style="378" hidden="1" customWidth="1"/>
    <col min="11278" max="11279" width="9.7109375" style="378" customWidth="1"/>
    <col min="11280" max="11280" width="12.28515625" style="378" customWidth="1"/>
    <col min="11281" max="11281" width="11.85546875" style="378" customWidth="1"/>
    <col min="11282" max="11282" width="11.42578125" style="378" customWidth="1"/>
    <col min="11283" max="11283" width="15.85546875" style="378" customWidth="1"/>
    <col min="11284" max="11284" width="21.140625" style="378" customWidth="1"/>
    <col min="11285" max="11288" width="0" style="378" hidden="1" customWidth="1"/>
    <col min="11289" max="11290" width="21.140625" style="378" customWidth="1"/>
    <col min="11291" max="11511" width="9.140625" style="378" customWidth="1"/>
    <col min="11512" max="11512" width="18.5703125" style="378" customWidth="1"/>
    <col min="11513" max="11513" width="12.85546875" style="378" customWidth="1"/>
    <col min="11514" max="11514" width="13.28515625" style="378" customWidth="1"/>
    <col min="11515" max="11515" width="12.5703125" style="378" customWidth="1"/>
    <col min="11516" max="11516" width="10.42578125" style="378" customWidth="1"/>
    <col min="11517" max="11517" width="9" style="378" customWidth="1"/>
    <col min="11518" max="11518" width="14" style="378" customWidth="1"/>
    <col min="11519" max="11519" width="0" style="378" hidden="1" customWidth="1"/>
    <col min="11520" max="11520" width="23.7109375" style="378"/>
    <col min="11521" max="11521" width="36.7109375" style="378" customWidth="1"/>
    <col min="11522" max="11533" width="0" style="378" hidden="1" customWidth="1"/>
    <col min="11534" max="11535" width="9.7109375" style="378" customWidth="1"/>
    <col min="11536" max="11536" width="12.28515625" style="378" customWidth="1"/>
    <col min="11537" max="11537" width="11.85546875" style="378" customWidth="1"/>
    <col min="11538" max="11538" width="11.42578125" style="378" customWidth="1"/>
    <col min="11539" max="11539" width="15.85546875" style="378" customWidth="1"/>
    <col min="11540" max="11540" width="21.140625" style="378" customWidth="1"/>
    <col min="11541" max="11544" width="0" style="378" hidden="1" customWidth="1"/>
    <col min="11545" max="11546" width="21.140625" style="378" customWidth="1"/>
    <col min="11547" max="11767" width="9.140625" style="378" customWidth="1"/>
    <col min="11768" max="11768" width="18.5703125" style="378" customWidth="1"/>
    <col min="11769" max="11769" width="12.85546875" style="378" customWidth="1"/>
    <col min="11770" max="11770" width="13.28515625" style="378" customWidth="1"/>
    <col min="11771" max="11771" width="12.5703125" style="378" customWidth="1"/>
    <col min="11772" max="11772" width="10.42578125" style="378" customWidth="1"/>
    <col min="11773" max="11773" width="9" style="378" customWidth="1"/>
    <col min="11774" max="11774" width="14" style="378" customWidth="1"/>
    <col min="11775" max="11775" width="0" style="378" hidden="1" customWidth="1"/>
    <col min="11776" max="11776" width="23.7109375" style="378"/>
    <col min="11777" max="11777" width="36.7109375" style="378" customWidth="1"/>
    <col min="11778" max="11789" width="0" style="378" hidden="1" customWidth="1"/>
    <col min="11790" max="11791" width="9.7109375" style="378" customWidth="1"/>
    <col min="11792" max="11792" width="12.28515625" style="378" customWidth="1"/>
    <col min="11793" max="11793" width="11.85546875" style="378" customWidth="1"/>
    <col min="11794" max="11794" width="11.42578125" style="378" customWidth="1"/>
    <col min="11795" max="11795" width="15.85546875" style="378" customWidth="1"/>
    <col min="11796" max="11796" width="21.140625" style="378" customWidth="1"/>
    <col min="11797" max="11800" width="0" style="378" hidden="1" customWidth="1"/>
    <col min="11801" max="11802" width="21.140625" style="378" customWidth="1"/>
    <col min="11803" max="12023" width="9.140625" style="378" customWidth="1"/>
    <col min="12024" max="12024" width="18.5703125" style="378" customWidth="1"/>
    <col min="12025" max="12025" width="12.85546875" style="378" customWidth="1"/>
    <col min="12026" max="12026" width="13.28515625" style="378" customWidth="1"/>
    <col min="12027" max="12027" width="12.5703125" style="378" customWidth="1"/>
    <col min="12028" max="12028" width="10.42578125" style="378" customWidth="1"/>
    <col min="12029" max="12029" width="9" style="378" customWidth="1"/>
    <col min="12030" max="12030" width="14" style="378" customWidth="1"/>
    <col min="12031" max="12031" width="0" style="378" hidden="1" customWidth="1"/>
    <col min="12032" max="12032" width="23.7109375" style="378"/>
    <col min="12033" max="12033" width="36.7109375" style="378" customWidth="1"/>
    <col min="12034" max="12045" width="0" style="378" hidden="1" customWidth="1"/>
    <col min="12046" max="12047" width="9.7109375" style="378" customWidth="1"/>
    <col min="12048" max="12048" width="12.28515625" style="378" customWidth="1"/>
    <col min="12049" max="12049" width="11.85546875" style="378" customWidth="1"/>
    <col min="12050" max="12050" width="11.42578125" style="378" customWidth="1"/>
    <col min="12051" max="12051" width="15.85546875" style="378" customWidth="1"/>
    <col min="12052" max="12052" width="21.140625" style="378" customWidth="1"/>
    <col min="12053" max="12056" width="0" style="378" hidden="1" customWidth="1"/>
    <col min="12057" max="12058" width="21.140625" style="378" customWidth="1"/>
    <col min="12059" max="12279" width="9.140625" style="378" customWidth="1"/>
    <col min="12280" max="12280" width="18.5703125" style="378" customWidth="1"/>
    <col min="12281" max="12281" width="12.85546875" style="378" customWidth="1"/>
    <col min="12282" max="12282" width="13.28515625" style="378" customWidth="1"/>
    <col min="12283" max="12283" width="12.5703125" style="378" customWidth="1"/>
    <col min="12284" max="12284" width="10.42578125" style="378" customWidth="1"/>
    <col min="12285" max="12285" width="9" style="378" customWidth="1"/>
    <col min="12286" max="12286" width="14" style="378" customWidth="1"/>
    <col min="12287" max="12287" width="0" style="378" hidden="1" customWidth="1"/>
    <col min="12288" max="12288" width="23.7109375" style="378"/>
    <col min="12289" max="12289" width="36.7109375" style="378" customWidth="1"/>
    <col min="12290" max="12301" width="0" style="378" hidden="1" customWidth="1"/>
    <col min="12302" max="12303" width="9.7109375" style="378" customWidth="1"/>
    <col min="12304" max="12304" width="12.28515625" style="378" customWidth="1"/>
    <col min="12305" max="12305" width="11.85546875" style="378" customWidth="1"/>
    <col min="12306" max="12306" width="11.42578125" style="378" customWidth="1"/>
    <col min="12307" max="12307" width="15.85546875" style="378" customWidth="1"/>
    <col min="12308" max="12308" width="21.140625" style="378" customWidth="1"/>
    <col min="12309" max="12312" width="0" style="378" hidden="1" customWidth="1"/>
    <col min="12313" max="12314" width="21.140625" style="378" customWidth="1"/>
    <col min="12315" max="12535" width="9.140625" style="378" customWidth="1"/>
    <col min="12536" max="12536" width="18.5703125" style="378" customWidth="1"/>
    <col min="12537" max="12537" width="12.85546875" style="378" customWidth="1"/>
    <col min="12538" max="12538" width="13.28515625" style="378" customWidth="1"/>
    <col min="12539" max="12539" width="12.5703125" style="378" customWidth="1"/>
    <col min="12540" max="12540" width="10.42578125" style="378" customWidth="1"/>
    <col min="12541" max="12541" width="9" style="378" customWidth="1"/>
    <col min="12542" max="12542" width="14" style="378" customWidth="1"/>
    <col min="12543" max="12543" width="0" style="378" hidden="1" customWidth="1"/>
    <col min="12544" max="12544" width="23.7109375" style="378"/>
    <col min="12545" max="12545" width="36.7109375" style="378" customWidth="1"/>
    <col min="12546" max="12557" width="0" style="378" hidden="1" customWidth="1"/>
    <col min="12558" max="12559" width="9.7109375" style="378" customWidth="1"/>
    <col min="12560" max="12560" width="12.28515625" style="378" customWidth="1"/>
    <col min="12561" max="12561" width="11.85546875" style="378" customWidth="1"/>
    <col min="12562" max="12562" width="11.42578125" style="378" customWidth="1"/>
    <col min="12563" max="12563" width="15.85546875" style="378" customWidth="1"/>
    <col min="12564" max="12564" width="21.140625" style="378" customWidth="1"/>
    <col min="12565" max="12568" width="0" style="378" hidden="1" customWidth="1"/>
    <col min="12569" max="12570" width="21.140625" style="378" customWidth="1"/>
    <col min="12571" max="12791" width="9.140625" style="378" customWidth="1"/>
    <col min="12792" max="12792" width="18.5703125" style="378" customWidth="1"/>
    <col min="12793" max="12793" width="12.85546875" style="378" customWidth="1"/>
    <col min="12794" max="12794" width="13.28515625" style="378" customWidth="1"/>
    <col min="12795" max="12795" width="12.5703125" style="378" customWidth="1"/>
    <col min="12796" max="12796" width="10.42578125" style="378" customWidth="1"/>
    <col min="12797" max="12797" width="9" style="378" customWidth="1"/>
    <col min="12798" max="12798" width="14" style="378" customWidth="1"/>
    <col min="12799" max="12799" width="0" style="378" hidden="1" customWidth="1"/>
    <col min="12800" max="12800" width="23.7109375" style="378"/>
    <col min="12801" max="12801" width="36.7109375" style="378" customWidth="1"/>
    <col min="12802" max="12813" width="0" style="378" hidden="1" customWidth="1"/>
    <col min="12814" max="12815" width="9.7109375" style="378" customWidth="1"/>
    <col min="12816" max="12816" width="12.28515625" style="378" customWidth="1"/>
    <col min="12817" max="12817" width="11.85546875" style="378" customWidth="1"/>
    <col min="12818" max="12818" width="11.42578125" style="378" customWidth="1"/>
    <col min="12819" max="12819" width="15.85546875" style="378" customWidth="1"/>
    <col min="12820" max="12820" width="21.140625" style="378" customWidth="1"/>
    <col min="12821" max="12824" width="0" style="378" hidden="1" customWidth="1"/>
    <col min="12825" max="12826" width="21.140625" style="378" customWidth="1"/>
    <col min="12827" max="13047" width="9.140625" style="378" customWidth="1"/>
    <col min="13048" max="13048" width="18.5703125" style="378" customWidth="1"/>
    <col min="13049" max="13049" width="12.85546875" style="378" customWidth="1"/>
    <col min="13050" max="13050" width="13.28515625" style="378" customWidth="1"/>
    <col min="13051" max="13051" width="12.5703125" style="378" customWidth="1"/>
    <col min="13052" max="13052" width="10.42578125" style="378" customWidth="1"/>
    <col min="13053" max="13053" width="9" style="378" customWidth="1"/>
    <col min="13054" max="13054" width="14" style="378" customWidth="1"/>
    <col min="13055" max="13055" width="0" style="378" hidden="1" customWidth="1"/>
    <col min="13056" max="13056" width="23.7109375" style="378"/>
    <col min="13057" max="13057" width="36.7109375" style="378" customWidth="1"/>
    <col min="13058" max="13069" width="0" style="378" hidden="1" customWidth="1"/>
    <col min="13070" max="13071" width="9.7109375" style="378" customWidth="1"/>
    <col min="13072" max="13072" width="12.28515625" style="378" customWidth="1"/>
    <col min="13073" max="13073" width="11.85546875" style="378" customWidth="1"/>
    <col min="13074" max="13074" width="11.42578125" style="378" customWidth="1"/>
    <col min="13075" max="13075" width="15.85546875" style="378" customWidth="1"/>
    <col min="13076" max="13076" width="21.140625" style="378" customWidth="1"/>
    <col min="13077" max="13080" width="0" style="378" hidden="1" customWidth="1"/>
    <col min="13081" max="13082" width="21.140625" style="378" customWidth="1"/>
    <col min="13083" max="13303" width="9.140625" style="378" customWidth="1"/>
    <col min="13304" max="13304" width="18.5703125" style="378" customWidth="1"/>
    <col min="13305" max="13305" width="12.85546875" style="378" customWidth="1"/>
    <col min="13306" max="13306" width="13.28515625" style="378" customWidth="1"/>
    <col min="13307" max="13307" width="12.5703125" style="378" customWidth="1"/>
    <col min="13308" max="13308" width="10.42578125" style="378" customWidth="1"/>
    <col min="13309" max="13309" width="9" style="378" customWidth="1"/>
    <col min="13310" max="13310" width="14" style="378" customWidth="1"/>
    <col min="13311" max="13311" width="0" style="378" hidden="1" customWidth="1"/>
    <col min="13312" max="13312" width="23.7109375" style="378"/>
    <col min="13313" max="13313" width="36.7109375" style="378" customWidth="1"/>
    <col min="13314" max="13325" width="0" style="378" hidden="1" customWidth="1"/>
    <col min="13326" max="13327" width="9.7109375" style="378" customWidth="1"/>
    <col min="13328" max="13328" width="12.28515625" style="378" customWidth="1"/>
    <col min="13329" max="13329" width="11.85546875" style="378" customWidth="1"/>
    <col min="13330" max="13330" width="11.42578125" style="378" customWidth="1"/>
    <col min="13331" max="13331" width="15.85546875" style="378" customWidth="1"/>
    <col min="13332" max="13332" width="21.140625" style="378" customWidth="1"/>
    <col min="13333" max="13336" width="0" style="378" hidden="1" customWidth="1"/>
    <col min="13337" max="13338" width="21.140625" style="378" customWidth="1"/>
    <col min="13339" max="13559" width="9.140625" style="378" customWidth="1"/>
    <col min="13560" max="13560" width="18.5703125" style="378" customWidth="1"/>
    <col min="13561" max="13561" width="12.85546875" style="378" customWidth="1"/>
    <col min="13562" max="13562" width="13.28515625" style="378" customWidth="1"/>
    <col min="13563" max="13563" width="12.5703125" style="378" customWidth="1"/>
    <col min="13564" max="13564" width="10.42578125" style="378" customWidth="1"/>
    <col min="13565" max="13565" width="9" style="378" customWidth="1"/>
    <col min="13566" max="13566" width="14" style="378" customWidth="1"/>
    <col min="13567" max="13567" width="0" style="378" hidden="1" customWidth="1"/>
    <col min="13568" max="13568" width="23.7109375" style="378"/>
    <col min="13569" max="13569" width="36.7109375" style="378" customWidth="1"/>
    <col min="13570" max="13581" width="0" style="378" hidden="1" customWidth="1"/>
    <col min="13582" max="13583" width="9.7109375" style="378" customWidth="1"/>
    <col min="13584" max="13584" width="12.28515625" style="378" customWidth="1"/>
    <col min="13585" max="13585" width="11.85546875" style="378" customWidth="1"/>
    <col min="13586" max="13586" width="11.42578125" style="378" customWidth="1"/>
    <col min="13587" max="13587" width="15.85546875" style="378" customWidth="1"/>
    <col min="13588" max="13588" width="21.140625" style="378" customWidth="1"/>
    <col min="13589" max="13592" width="0" style="378" hidden="1" customWidth="1"/>
    <col min="13593" max="13594" width="21.140625" style="378" customWidth="1"/>
    <col min="13595" max="13815" width="9.140625" style="378" customWidth="1"/>
    <col min="13816" max="13816" width="18.5703125" style="378" customWidth="1"/>
    <col min="13817" max="13817" width="12.85546875" style="378" customWidth="1"/>
    <col min="13818" max="13818" width="13.28515625" style="378" customWidth="1"/>
    <col min="13819" max="13819" width="12.5703125" style="378" customWidth="1"/>
    <col min="13820" max="13820" width="10.42578125" style="378" customWidth="1"/>
    <col min="13821" max="13821" width="9" style="378" customWidth="1"/>
    <col min="13822" max="13822" width="14" style="378" customWidth="1"/>
    <col min="13823" max="13823" width="0" style="378" hidden="1" customWidth="1"/>
    <col min="13824" max="13824" width="23.7109375" style="378"/>
    <col min="13825" max="13825" width="36.7109375" style="378" customWidth="1"/>
    <col min="13826" max="13837" width="0" style="378" hidden="1" customWidth="1"/>
    <col min="13838" max="13839" width="9.7109375" style="378" customWidth="1"/>
    <col min="13840" max="13840" width="12.28515625" style="378" customWidth="1"/>
    <col min="13841" max="13841" width="11.85546875" style="378" customWidth="1"/>
    <col min="13842" max="13842" width="11.42578125" style="378" customWidth="1"/>
    <col min="13843" max="13843" width="15.85546875" style="378" customWidth="1"/>
    <col min="13844" max="13844" width="21.140625" style="378" customWidth="1"/>
    <col min="13845" max="13848" width="0" style="378" hidden="1" customWidth="1"/>
    <col min="13849" max="13850" width="21.140625" style="378" customWidth="1"/>
    <col min="13851" max="14071" width="9.140625" style="378" customWidth="1"/>
    <col min="14072" max="14072" width="18.5703125" style="378" customWidth="1"/>
    <col min="14073" max="14073" width="12.85546875" style="378" customWidth="1"/>
    <col min="14074" max="14074" width="13.28515625" style="378" customWidth="1"/>
    <col min="14075" max="14075" width="12.5703125" style="378" customWidth="1"/>
    <col min="14076" max="14076" width="10.42578125" style="378" customWidth="1"/>
    <col min="14077" max="14077" width="9" style="378" customWidth="1"/>
    <col min="14078" max="14078" width="14" style="378" customWidth="1"/>
    <col min="14079" max="14079" width="0" style="378" hidden="1" customWidth="1"/>
    <col min="14080" max="14080" width="23.7109375" style="378"/>
    <col min="14081" max="14081" width="36.7109375" style="378" customWidth="1"/>
    <col min="14082" max="14093" width="0" style="378" hidden="1" customWidth="1"/>
    <col min="14094" max="14095" width="9.7109375" style="378" customWidth="1"/>
    <col min="14096" max="14096" width="12.28515625" style="378" customWidth="1"/>
    <col min="14097" max="14097" width="11.85546875" style="378" customWidth="1"/>
    <col min="14098" max="14098" width="11.42578125" style="378" customWidth="1"/>
    <col min="14099" max="14099" width="15.85546875" style="378" customWidth="1"/>
    <col min="14100" max="14100" width="21.140625" style="378" customWidth="1"/>
    <col min="14101" max="14104" width="0" style="378" hidden="1" customWidth="1"/>
    <col min="14105" max="14106" width="21.140625" style="378" customWidth="1"/>
    <col min="14107" max="14327" width="9.140625" style="378" customWidth="1"/>
    <col min="14328" max="14328" width="18.5703125" style="378" customWidth="1"/>
    <col min="14329" max="14329" width="12.85546875" style="378" customWidth="1"/>
    <col min="14330" max="14330" width="13.28515625" style="378" customWidth="1"/>
    <col min="14331" max="14331" width="12.5703125" style="378" customWidth="1"/>
    <col min="14332" max="14332" width="10.42578125" style="378" customWidth="1"/>
    <col min="14333" max="14333" width="9" style="378" customWidth="1"/>
    <col min="14334" max="14334" width="14" style="378" customWidth="1"/>
    <col min="14335" max="14335" width="0" style="378" hidden="1" customWidth="1"/>
    <col min="14336" max="14336" width="23.7109375" style="378"/>
    <col min="14337" max="14337" width="36.7109375" style="378" customWidth="1"/>
    <col min="14338" max="14349" width="0" style="378" hidden="1" customWidth="1"/>
    <col min="14350" max="14351" width="9.7109375" style="378" customWidth="1"/>
    <col min="14352" max="14352" width="12.28515625" style="378" customWidth="1"/>
    <col min="14353" max="14353" width="11.85546875" style="378" customWidth="1"/>
    <col min="14354" max="14354" width="11.42578125" style="378" customWidth="1"/>
    <col min="14355" max="14355" width="15.85546875" style="378" customWidth="1"/>
    <col min="14356" max="14356" width="21.140625" style="378" customWidth="1"/>
    <col min="14357" max="14360" width="0" style="378" hidden="1" customWidth="1"/>
    <col min="14361" max="14362" width="21.140625" style="378" customWidth="1"/>
    <col min="14363" max="14583" width="9.140625" style="378" customWidth="1"/>
    <col min="14584" max="14584" width="18.5703125" style="378" customWidth="1"/>
    <col min="14585" max="14585" width="12.85546875" style="378" customWidth="1"/>
    <col min="14586" max="14586" width="13.28515625" style="378" customWidth="1"/>
    <col min="14587" max="14587" width="12.5703125" style="378" customWidth="1"/>
    <col min="14588" max="14588" width="10.42578125" style="378" customWidth="1"/>
    <col min="14589" max="14589" width="9" style="378" customWidth="1"/>
    <col min="14590" max="14590" width="14" style="378" customWidth="1"/>
    <col min="14591" max="14591" width="0" style="378" hidden="1" customWidth="1"/>
    <col min="14592" max="14592" width="23.7109375" style="378"/>
    <col min="14593" max="14593" width="36.7109375" style="378" customWidth="1"/>
    <col min="14594" max="14605" width="0" style="378" hidden="1" customWidth="1"/>
    <col min="14606" max="14607" width="9.7109375" style="378" customWidth="1"/>
    <col min="14608" max="14608" width="12.28515625" style="378" customWidth="1"/>
    <col min="14609" max="14609" width="11.85546875" style="378" customWidth="1"/>
    <col min="14610" max="14610" width="11.42578125" style="378" customWidth="1"/>
    <col min="14611" max="14611" width="15.85546875" style="378" customWidth="1"/>
    <col min="14612" max="14612" width="21.140625" style="378" customWidth="1"/>
    <col min="14613" max="14616" width="0" style="378" hidden="1" customWidth="1"/>
    <col min="14617" max="14618" width="21.140625" style="378" customWidth="1"/>
    <col min="14619" max="14839" width="9.140625" style="378" customWidth="1"/>
    <col min="14840" max="14840" width="18.5703125" style="378" customWidth="1"/>
    <col min="14841" max="14841" width="12.85546875" style="378" customWidth="1"/>
    <col min="14842" max="14842" width="13.28515625" style="378" customWidth="1"/>
    <col min="14843" max="14843" width="12.5703125" style="378" customWidth="1"/>
    <col min="14844" max="14844" width="10.42578125" style="378" customWidth="1"/>
    <col min="14845" max="14845" width="9" style="378" customWidth="1"/>
    <col min="14846" max="14846" width="14" style="378" customWidth="1"/>
    <col min="14847" max="14847" width="0" style="378" hidden="1" customWidth="1"/>
    <col min="14848" max="14848" width="23.7109375" style="378"/>
    <col min="14849" max="14849" width="36.7109375" style="378" customWidth="1"/>
    <col min="14850" max="14861" width="0" style="378" hidden="1" customWidth="1"/>
    <col min="14862" max="14863" width="9.7109375" style="378" customWidth="1"/>
    <col min="14864" max="14864" width="12.28515625" style="378" customWidth="1"/>
    <col min="14865" max="14865" width="11.85546875" style="378" customWidth="1"/>
    <col min="14866" max="14866" width="11.42578125" style="378" customWidth="1"/>
    <col min="14867" max="14867" width="15.85546875" style="378" customWidth="1"/>
    <col min="14868" max="14868" width="21.140625" style="378" customWidth="1"/>
    <col min="14869" max="14872" width="0" style="378" hidden="1" customWidth="1"/>
    <col min="14873" max="14874" width="21.140625" style="378" customWidth="1"/>
    <col min="14875" max="15095" width="9.140625" style="378" customWidth="1"/>
    <col min="15096" max="15096" width="18.5703125" style="378" customWidth="1"/>
    <col min="15097" max="15097" width="12.85546875" style="378" customWidth="1"/>
    <col min="15098" max="15098" width="13.28515625" style="378" customWidth="1"/>
    <col min="15099" max="15099" width="12.5703125" style="378" customWidth="1"/>
    <col min="15100" max="15100" width="10.42578125" style="378" customWidth="1"/>
    <col min="15101" max="15101" width="9" style="378" customWidth="1"/>
    <col min="15102" max="15102" width="14" style="378" customWidth="1"/>
    <col min="15103" max="15103" width="0" style="378" hidden="1" customWidth="1"/>
    <col min="15104" max="15104" width="23.7109375" style="378"/>
    <col min="15105" max="15105" width="36.7109375" style="378" customWidth="1"/>
    <col min="15106" max="15117" width="0" style="378" hidden="1" customWidth="1"/>
    <col min="15118" max="15119" width="9.7109375" style="378" customWidth="1"/>
    <col min="15120" max="15120" width="12.28515625" style="378" customWidth="1"/>
    <col min="15121" max="15121" width="11.85546875" style="378" customWidth="1"/>
    <col min="15122" max="15122" width="11.42578125" style="378" customWidth="1"/>
    <col min="15123" max="15123" width="15.85546875" style="378" customWidth="1"/>
    <col min="15124" max="15124" width="21.140625" style="378" customWidth="1"/>
    <col min="15125" max="15128" width="0" style="378" hidden="1" customWidth="1"/>
    <col min="15129" max="15130" width="21.140625" style="378" customWidth="1"/>
    <col min="15131" max="15351" width="9.140625" style="378" customWidth="1"/>
    <col min="15352" max="15352" width="18.5703125" style="378" customWidth="1"/>
    <col min="15353" max="15353" width="12.85546875" style="378" customWidth="1"/>
    <col min="15354" max="15354" width="13.28515625" style="378" customWidth="1"/>
    <col min="15355" max="15355" width="12.5703125" style="378" customWidth="1"/>
    <col min="15356" max="15356" width="10.42578125" style="378" customWidth="1"/>
    <col min="15357" max="15357" width="9" style="378" customWidth="1"/>
    <col min="15358" max="15358" width="14" style="378" customWidth="1"/>
    <col min="15359" max="15359" width="0" style="378" hidden="1" customWidth="1"/>
    <col min="15360" max="15360" width="23.7109375" style="378"/>
    <col min="15361" max="15361" width="36.7109375" style="378" customWidth="1"/>
    <col min="15362" max="15373" width="0" style="378" hidden="1" customWidth="1"/>
    <col min="15374" max="15375" width="9.7109375" style="378" customWidth="1"/>
    <col min="15376" max="15376" width="12.28515625" style="378" customWidth="1"/>
    <col min="15377" max="15377" width="11.85546875" style="378" customWidth="1"/>
    <col min="15378" max="15378" width="11.42578125" style="378" customWidth="1"/>
    <col min="15379" max="15379" width="15.85546875" style="378" customWidth="1"/>
    <col min="15380" max="15380" width="21.140625" style="378" customWidth="1"/>
    <col min="15381" max="15384" width="0" style="378" hidden="1" customWidth="1"/>
    <col min="15385" max="15386" width="21.140625" style="378" customWidth="1"/>
    <col min="15387" max="15607" width="9.140625" style="378" customWidth="1"/>
    <col min="15608" max="15608" width="18.5703125" style="378" customWidth="1"/>
    <col min="15609" max="15609" width="12.85546875" style="378" customWidth="1"/>
    <col min="15610" max="15610" width="13.28515625" style="378" customWidth="1"/>
    <col min="15611" max="15611" width="12.5703125" style="378" customWidth="1"/>
    <col min="15612" max="15612" width="10.42578125" style="378" customWidth="1"/>
    <col min="15613" max="15613" width="9" style="378" customWidth="1"/>
    <col min="15614" max="15614" width="14" style="378" customWidth="1"/>
    <col min="15615" max="15615" width="0" style="378" hidden="1" customWidth="1"/>
    <col min="15616" max="15616" width="23.7109375" style="378"/>
    <col min="15617" max="15617" width="36.7109375" style="378" customWidth="1"/>
    <col min="15618" max="15629" width="0" style="378" hidden="1" customWidth="1"/>
    <col min="15630" max="15631" width="9.7109375" style="378" customWidth="1"/>
    <col min="15632" max="15632" width="12.28515625" style="378" customWidth="1"/>
    <col min="15633" max="15633" width="11.85546875" style="378" customWidth="1"/>
    <col min="15634" max="15634" width="11.42578125" style="378" customWidth="1"/>
    <col min="15635" max="15635" width="15.85546875" style="378" customWidth="1"/>
    <col min="15636" max="15636" width="21.140625" style="378" customWidth="1"/>
    <col min="15637" max="15640" width="0" style="378" hidden="1" customWidth="1"/>
    <col min="15641" max="15642" width="21.140625" style="378" customWidth="1"/>
    <col min="15643" max="15863" width="9.140625" style="378" customWidth="1"/>
    <col min="15864" max="15864" width="18.5703125" style="378" customWidth="1"/>
    <col min="15865" max="15865" width="12.85546875" style="378" customWidth="1"/>
    <col min="15866" max="15866" width="13.28515625" style="378" customWidth="1"/>
    <col min="15867" max="15867" width="12.5703125" style="378" customWidth="1"/>
    <col min="15868" max="15868" width="10.42578125" style="378" customWidth="1"/>
    <col min="15869" max="15869" width="9" style="378" customWidth="1"/>
    <col min="15870" max="15870" width="14" style="378" customWidth="1"/>
    <col min="15871" max="15871" width="0" style="378" hidden="1" customWidth="1"/>
    <col min="15872" max="15872" width="23.7109375" style="378"/>
    <col min="15873" max="15873" width="36.7109375" style="378" customWidth="1"/>
    <col min="15874" max="15885" width="0" style="378" hidden="1" customWidth="1"/>
    <col min="15886" max="15887" width="9.7109375" style="378" customWidth="1"/>
    <col min="15888" max="15888" width="12.28515625" style="378" customWidth="1"/>
    <col min="15889" max="15889" width="11.85546875" style="378" customWidth="1"/>
    <col min="15890" max="15890" width="11.42578125" style="378" customWidth="1"/>
    <col min="15891" max="15891" width="15.85546875" style="378" customWidth="1"/>
    <col min="15892" max="15892" width="21.140625" style="378" customWidth="1"/>
    <col min="15893" max="15896" width="0" style="378" hidden="1" customWidth="1"/>
    <col min="15897" max="15898" width="21.140625" style="378" customWidth="1"/>
    <col min="15899" max="16119" width="9.140625" style="378" customWidth="1"/>
    <col min="16120" max="16120" width="18.5703125" style="378" customWidth="1"/>
    <col min="16121" max="16121" width="12.85546875" style="378" customWidth="1"/>
    <col min="16122" max="16122" width="13.28515625" style="378" customWidth="1"/>
    <col min="16123" max="16123" width="12.5703125" style="378" customWidth="1"/>
    <col min="16124" max="16124" width="10.42578125" style="378" customWidth="1"/>
    <col min="16125" max="16125" width="9" style="378" customWidth="1"/>
    <col min="16126" max="16126" width="14" style="378" customWidth="1"/>
    <col min="16127" max="16127" width="0" style="378" hidden="1" customWidth="1"/>
    <col min="16128" max="16128" width="23.7109375" style="378"/>
    <col min="16129" max="16129" width="36.7109375" style="378" customWidth="1"/>
    <col min="16130" max="16141" width="0" style="378" hidden="1" customWidth="1"/>
    <col min="16142" max="16143" width="9.7109375" style="378" customWidth="1"/>
    <col min="16144" max="16144" width="12.28515625" style="378" customWidth="1"/>
    <col min="16145" max="16145" width="11.85546875" style="378" customWidth="1"/>
    <col min="16146" max="16146" width="11.42578125" style="378" customWidth="1"/>
    <col min="16147" max="16147" width="15.85546875" style="378" customWidth="1"/>
    <col min="16148" max="16148" width="21.140625" style="378" customWidth="1"/>
    <col min="16149" max="16152" width="0" style="378" hidden="1" customWidth="1"/>
    <col min="16153" max="16154" width="21.140625" style="378" customWidth="1"/>
    <col min="16155" max="16375" width="9.140625" style="378" customWidth="1"/>
    <col min="16376" max="16376" width="18.5703125" style="378" customWidth="1"/>
    <col min="16377" max="16377" width="12.85546875" style="378" customWidth="1"/>
    <col min="16378" max="16378" width="13.28515625" style="378" customWidth="1"/>
    <col min="16379" max="16379" width="12.5703125" style="378" customWidth="1"/>
    <col min="16380" max="16380" width="10.42578125" style="378" customWidth="1"/>
    <col min="16381" max="16381" width="9" style="378" customWidth="1"/>
    <col min="16382" max="16382" width="14" style="378" customWidth="1"/>
    <col min="16383" max="16383" width="0" style="378" hidden="1" customWidth="1"/>
    <col min="16384" max="16384" width="23.7109375" style="378"/>
  </cols>
  <sheetData>
    <row r="1" spans="1:26" s="404" customFormat="1" x14ac:dyDescent="0.25">
      <c r="A1" s="766" t="s">
        <v>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</row>
    <row r="2" spans="1:26" s="404" customFormat="1" ht="49.5" customHeight="1" x14ac:dyDescent="0.25">
      <c r="A2" s="898" t="s">
        <v>717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</row>
    <row r="3" spans="1:26" x14ac:dyDescent="0.25">
      <c r="A3" s="899"/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</row>
    <row r="4" spans="1:26" x14ac:dyDescent="0.25">
      <c r="A4" s="379"/>
      <c r="B4" s="380"/>
      <c r="C4" s="380"/>
      <c r="D4" s="380"/>
      <c r="E4" s="380"/>
      <c r="F4" s="380"/>
      <c r="G4" s="380"/>
      <c r="H4" s="380"/>
      <c r="I4" s="380"/>
      <c r="J4" s="380"/>
      <c r="L4" s="381" t="s">
        <v>15</v>
      </c>
      <c r="M4" s="382"/>
    </row>
    <row r="5" spans="1:26" s="383" customFormat="1" ht="67.5" customHeight="1" x14ac:dyDescent="0.2">
      <c r="A5" s="897" t="s">
        <v>188</v>
      </c>
      <c r="B5" s="897" t="s">
        <v>399</v>
      </c>
      <c r="C5" s="897"/>
      <c r="D5" s="897"/>
      <c r="E5" s="897" t="s">
        <v>400</v>
      </c>
      <c r="F5" s="122" t="s">
        <v>401</v>
      </c>
      <c r="G5" s="897" t="s">
        <v>402</v>
      </c>
      <c r="H5" s="897"/>
      <c r="I5" s="897"/>
      <c r="J5" s="897" t="s">
        <v>403</v>
      </c>
      <c r="K5" s="897"/>
      <c r="L5" s="897"/>
      <c r="M5" s="122" t="s">
        <v>404</v>
      </c>
      <c r="N5" s="897" t="s">
        <v>93</v>
      </c>
      <c r="O5" s="897"/>
      <c r="P5" s="897"/>
      <c r="Q5" s="897" t="s">
        <v>94</v>
      </c>
      <c r="R5" s="897"/>
      <c r="S5" s="897" t="s">
        <v>186</v>
      </c>
      <c r="T5" s="897" t="s">
        <v>187</v>
      </c>
      <c r="U5" s="895" t="s">
        <v>405</v>
      </c>
      <c r="V5" s="895" t="s">
        <v>406</v>
      </c>
      <c r="W5" s="896" t="s">
        <v>407</v>
      </c>
      <c r="X5" s="896" t="s">
        <v>408</v>
      </c>
      <c r="Y5" s="897" t="s">
        <v>273</v>
      </c>
      <c r="Z5" s="897" t="s">
        <v>272</v>
      </c>
    </row>
    <row r="6" spans="1:26" s="383" customFormat="1" ht="77.25" customHeight="1" x14ac:dyDescent="0.2">
      <c r="A6" s="897"/>
      <c r="B6" s="122" t="s">
        <v>409</v>
      </c>
      <c r="C6" s="122" t="s">
        <v>410</v>
      </c>
      <c r="D6" s="122" t="s">
        <v>95</v>
      </c>
      <c r="E6" s="897"/>
      <c r="F6" s="122"/>
      <c r="G6" s="122" t="s">
        <v>409</v>
      </c>
      <c r="H6" s="122" t="s">
        <v>410</v>
      </c>
      <c r="I6" s="122" t="s">
        <v>95</v>
      </c>
      <c r="J6" s="122" t="s">
        <v>409</v>
      </c>
      <c r="K6" s="122" t="s">
        <v>410</v>
      </c>
      <c r="L6" s="122" t="s">
        <v>95</v>
      </c>
      <c r="M6" s="122" t="s">
        <v>410</v>
      </c>
      <c r="N6" s="122" t="s">
        <v>96</v>
      </c>
      <c r="O6" s="122" t="s">
        <v>97</v>
      </c>
      <c r="P6" s="122" t="s">
        <v>95</v>
      </c>
      <c r="Q6" s="122" t="s">
        <v>98</v>
      </c>
      <c r="R6" s="122" t="s">
        <v>99</v>
      </c>
      <c r="S6" s="897"/>
      <c r="T6" s="897"/>
      <c r="U6" s="895"/>
      <c r="V6" s="895"/>
      <c r="W6" s="896"/>
      <c r="X6" s="896"/>
      <c r="Y6" s="897"/>
      <c r="Z6" s="897"/>
    </row>
    <row r="7" spans="1:26" s="389" customFormat="1" ht="15.75" customHeight="1" x14ac:dyDescent="0.25">
      <c r="A7" s="384" t="s">
        <v>3</v>
      </c>
      <c r="B7" s="46" t="e">
        <f>SUM(#REF!)</f>
        <v>#REF!</v>
      </c>
      <c r="C7" s="46" t="e">
        <f>SUM(#REF!)</f>
        <v>#REF!</v>
      </c>
      <c r="D7" s="46" t="e">
        <f>SUM(#REF!)</f>
        <v>#REF!</v>
      </c>
      <c r="E7" s="46" t="e">
        <f>SUM(#REF!)</f>
        <v>#REF!</v>
      </c>
      <c r="F7" s="46" t="e">
        <f>SUM(#REF!)</f>
        <v>#REF!</v>
      </c>
      <c r="G7" s="46" t="e">
        <f>SUM(#REF!)</f>
        <v>#REF!</v>
      </c>
      <c r="H7" s="46" t="e">
        <f>SUM(#REF!)</f>
        <v>#REF!</v>
      </c>
      <c r="I7" s="46" t="e">
        <f>H7+G7</f>
        <v>#REF!</v>
      </c>
      <c r="J7" s="46" t="e">
        <f>SUM(#REF!)</f>
        <v>#REF!</v>
      </c>
      <c r="K7" s="46" t="e">
        <f>SUM(#REF!)</f>
        <v>#REF!</v>
      </c>
      <c r="L7" s="46" t="e">
        <f>K7+J7</f>
        <v>#REF!</v>
      </c>
      <c r="M7" s="46">
        <v>0.59</v>
      </c>
      <c r="N7" s="385">
        <v>3550</v>
      </c>
      <c r="O7" s="385">
        <v>3520</v>
      </c>
      <c r="P7" s="385">
        <v>6648</v>
      </c>
      <c r="Q7" s="386">
        <v>25</v>
      </c>
      <c r="R7" s="386">
        <v>10</v>
      </c>
      <c r="S7" s="385">
        <v>170</v>
      </c>
      <c r="T7" s="387">
        <f>(N7*Q7*S7+O7*R7*S7)/1000+2.5</f>
        <v>21074</v>
      </c>
      <c r="U7" s="388" t="e">
        <f>SUM(#REF!)</f>
        <v>#REF!</v>
      </c>
      <c r="V7" s="388" t="e">
        <f>SUM(#REF!)</f>
        <v>#REF!</v>
      </c>
      <c r="W7" s="388" t="e">
        <f>SUM(#REF!)</f>
        <v>#REF!</v>
      </c>
      <c r="X7" s="388" t="e">
        <f>SUM(#REF!)</f>
        <v>#REF!</v>
      </c>
      <c r="Y7" s="387">
        <v>21074</v>
      </c>
      <c r="Z7" s="387">
        <v>21074</v>
      </c>
    </row>
    <row r="8" spans="1:26" s="389" customFormat="1" ht="15.75" customHeight="1" x14ac:dyDescent="0.25">
      <c r="A8" s="384" t="s">
        <v>58</v>
      </c>
      <c r="B8" s="46">
        <f>SUM(B9:B17)</f>
        <v>361</v>
      </c>
      <c r="C8" s="46">
        <f>SUM(C9:C17)</f>
        <v>670</v>
      </c>
      <c r="D8" s="46">
        <f>SUM(D9:D17)</f>
        <v>1031</v>
      </c>
      <c r="E8" s="46">
        <f>SUM(E9:E17)</f>
        <v>1047</v>
      </c>
      <c r="F8" s="46"/>
      <c r="G8" s="46">
        <f t="shared" ref="G8:L8" si="0">SUM(G9:G17)</f>
        <v>361</v>
      </c>
      <c r="H8" s="46">
        <f t="shared" si="0"/>
        <v>670</v>
      </c>
      <c r="I8" s="46">
        <f t="shared" si="0"/>
        <v>1031</v>
      </c>
      <c r="J8" s="46">
        <f t="shared" si="0"/>
        <v>433</v>
      </c>
      <c r="K8" s="46">
        <f t="shared" si="0"/>
        <v>621</v>
      </c>
      <c r="L8" s="46">
        <f t="shared" si="0"/>
        <v>1054</v>
      </c>
      <c r="M8" s="46">
        <v>0.8</v>
      </c>
      <c r="N8" s="385">
        <v>230</v>
      </c>
      <c r="O8" s="385">
        <v>280</v>
      </c>
      <c r="P8" s="385">
        <f>SUM(P9:P17)</f>
        <v>471</v>
      </c>
      <c r="Q8" s="386">
        <v>25</v>
      </c>
      <c r="R8" s="386">
        <v>10</v>
      </c>
      <c r="S8" s="385">
        <v>170</v>
      </c>
      <c r="T8" s="387">
        <v>1453</v>
      </c>
      <c r="U8" s="388">
        <f>SUM(U9:U17)</f>
        <v>0</v>
      </c>
      <c r="V8" s="388">
        <f>SUM(V9:V17)</f>
        <v>0</v>
      </c>
      <c r="W8" s="388">
        <f>SUM(W9:W17)</f>
        <v>1369.3500000000001</v>
      </c>
      <c r="X8" s="388">
        <f>SUM(X9:X17)</f>
        <v>1369.3500000000001</v>
      </c>
      <c r="Y8" s="387">
        <v>1453.1</v>
      </c>
      <c r="Z8" s="387">
        <v>1453.1</v>
      </c>
    </row>
    <row r="9" spans="1:26" s="389" customFormat="1" ht="15.75" hidden="1" customHeight="1" x14ac:dyDescent="0.25">
      <c r="A9" s="384" t="s">
        <v>100</v>
      </c>
      <c r="B9" s="46">
        <v>250</v>
      </c>
      <c r="C9" s="46">
        <v>500</v>
      </c>
      <c r="D9" s="46">
        <f>C9+B9</f>
        <v>750</v>
      </c>
      <c r="E9" s="46">
        <v>763</v>
      </c>
      <c r="F9" s="46"/>
      <c r="G9" s="46">
        <f>B9</f>
        <v>250</v>
      </c>
      <c r="H9" s="46">
        <f>C9</f>
        <v>500</v>
      </c>
      <c r="I9" s="46">
        <f t="shared" ref="I9:I17" si="1">H9+G9</f>
        <v>750</v>
      </c>
      <c r="J9" s="46">
        <v>317</v>
      </c>
      <c r="K9" s="46">
        <f>401+56</f>
        <v>457</v>
      </c>
      <c r="L9" s="46">
        <f>K9+J9</f>
        <v>774</v>
      </c>
      <c r="M9" s="46">
        <v>0.8</v>
      </c>
      <c r="N9" s="385">
        <v>123</v>
      </c>
      <c r="O9" s="385">
        <v>140</v>
      </c>
      <c r="P9" s="385">
        <f>O9+N9</f>
        <v>263</v>
      </c>
      <c r="Q9" s="386">
        <f>25</f>
        <v>25</v>
      </c>
      <c r="R9" s="386">
        <v>10</v>
      </c>
      <c r="S9" s="390">
        <v>170</v>
      </c>
      <c r="T9" s="387">
        <f t="shared" ref="T9:T54" si="2">(N9*Q9*S9+O9*R9*S9)/1000</f>
        <v>760.75</v>
      </c>
      <c r="U9" s="391"/>
      <c r="V9" s="391"/>
      <c r="W9" s="392">
        <f t="shared" ref="W9:W17" si="3">T9</f>
        <v>760.75</v>
      </c>
      <c r="X9" s="392">
        <f t="shared" ref="X9:X17" si="4">W9</f>
        <v>760.75</v>
      </c>
      <c r="Y9" s="387">
        <v>760.75</v>
      </c>
      <c r="Z9" s="387">
        <v>760.75</v>
      </c>
    </row>
    <row r="10" spans="1:26" s="389" customFormat="1" ht="15.75" hidden="1" customHeight="1" x14ac:dyDescent="0.25">
      <c r="A10" s="384" t="s">
        <v>101</v>
      </c>
      <c r="B10" s="46">
        <v>40</v>
      </c>
      <c r="C10" s="46">
        <v>65</v>
      </c>
      <c r="D10" s="46">
        <f t="shared" ref="D10:D17" si="5">C10+B10</f>
        <v>105</v>
      </c>
      <c r="E10" s="46">
        <v>112</v>
      </c>
      <c r="F10" s="46"/>
      <c r="G10" s="46">
        <f t="shared" ref="G10:H17" si="6">B10</f>
        <v>40</v>
      </c>
      <c r="H10" s="46">
        <f t="shared" si="6"/>
        <v>65</v>
      </c>
      <c r="I10" s="46">
        <f t="shared" si="1"/>
        <v>105</v>
      </c>
      <c r="J10" s="46">
        <v>40</v>
      </c>
      <c r="K10" s="46">
        <f>105-40</f>
        <v>65</v>
      </c>
      <c r="L10" s="46">
        <f t="shared" ref="L10:L17" si="7">K10+J10</f>
        <v>105</v>
      </c>
      <c r="M10" s="46">
        <v>0.8</v>
      </c>
      <c r="N10" s="385">
        <v>28</v>
      </c>
      <c r="O10" s="385">
        <v>41</v>
      </c>
      <c r="P10" s="385">
        <f t="shared" ref="P10:P17" si="8">O10+N10</f>
        <v>69</v>
      </c>
      <c r="Q10" s="386">
        <f>25</f>
        <v>25</v>
      </c>
      <c r="R10" s="386">
        <v>10</v>
      </c>
      <c r="S10" s="390">
        <v>170</v>
      </c>
      <c r="T10" s="387">
        <f t="shared" si="2"/>
        <v>188.7</v>
      </c>
      <c r="U10" s="391"/>
      <c r="V10" s="391"/>
      <c r="W10" s="392">
        <f t="shared" si="3"/>
        <v>188.7</v>
      </c>
      <c r="X10" s="392">
        <f t="shared" si="4"/>
        <v>188.7</v>
      </c>
      <c r="Y10" s="387">
        <v>188.7</v>
      </c>
      <c r="Z10" s="387">
        <v>188.7</v>
      </c>
    </row>
    <row r="11" spans="1:26" s="389" customFormat="1" ht="15.75" hidden="1" customHeight="1" x14ac:dyDescent="0.25">
      <c r="A11" s="384" t="s">
        <v>102</v>
      </c>
      <c r="B11" s="46">
        <v>14</v>
      </c>
      <c r="C11" s="46">
        <v>42</v>
      </c>
      <c r="D11" s="46">
        <f t="shared" si="5"/>
        <v>56</v>
      </c>
      <c r="E11" s="46">
        <v>55</v>
      </c>
      <c r="F11" s="46"/>
      <c r="G11" s="46">
        <f t="shared" si="6"/>
        <v>14</v>
      </c>
      <c r="H11" s="46">
        <f t="shared" si="6"/>
        <v>42</v>
      </c>
      <c r="I11" s="46">
        <f t="shared" si="1"/>
        <v>56</v>
      </c>
      <c r="J11" s="46">
        <v>14</v>
      </c>
      <c r="K11" s="46">
        <f>53-14</f>
        <v>39</v>
      </c>
      <c r="L11" s="46">
        <f t="shared" si="7"/>
        <v>53</v>
      </c>
      <c r="M11" s="46">
        <v>0.8</v>
      </c>
      <c r="N11" s="385">
        <f t="shared" ref="N11:N17" si="9">J11</f>
        <v>14</v>
      </c>
      <c r="O11" s="385">
        <v>15</v>
      </c>
      <c r="P11" s="385">
        <f t="shared" si="8"/>
        <v>29</v>
      </c>
      <c r="Q11" s="386">
        <f>25</f>
        <v>25</v>
      </c>
      <c r="R11" s="386">
        <v>10</v>
      </c>
      <c r="S11" s="390">
        <v>170</v>
      </c>
      <c r="T11" s="387">
        <f t="shared" si="2"/>
        <v>85</v>
      </c>
      <c r="U11" s="391"/>
      <c r="V11" s="391"/>
      <c r="W11" s="392">
        <f t="shared" si="3"/>
        <v>85</v>
      </c>
      <c r="X11" s="392">
        <f t="shared" si="4"/>
        <v>85</v>
      </c>
      <c r="Y11" s="387">
        <v>85</v>
      </c>
      <c r="Z11" s="387">
        <v>85</v>
      </c>
    </row>
    <row r="12" spans="1:26" s="389" customFormat="1" ht="15.75" hidden="1" customHeight="1" x14ac:dyDescent="0.25">
      <c r="A12" s="384" t="s">
        <v>103</v>
      </c>
      <c r="B12" s="46">
        <v>16</v>
      </c>
      <c r="C12" s="46">
        <v>39</v>
      </c>
      <c r="D12" s="46">
        <f t="shared" si="5"/>
        <v>55</v>
      </c>
      <c r="E12" s="46">
        <v>58</v>
      </c>
      <c r="F12" s="46"/>
      <c r="G12" s="46">
        <f t="shared" si="6"/>
        <v>16</v>
      </c>
      <c r="H12" s="46">
        <f t="shared" si="6"/>
        <v>39</v>
      </c>
      <c r="I12" s="46">
        <f t="shared" si="1"/>
        <v>55</v>
      </c>
      <c r="J12" s="46">
        <v>16</v>
      </c>
      <c r="K12" s="46">
        <f>55-16</f>
        <v>39</v>
      </c>
      <c r="L12" s="46">
        <f t="shared" si="7"/>
        <v>55</v>
      </c>
      <c r="M12" s="46">
        <v>0.8</v>
      </c>
      <c r="N12" s="385">
        <f t="shared" si="9"/>
        <v>16</v>
      </c>
      <c r="O12" s="385">
        <f t="shared" ref="O12:O17" si="10">ROUND(K12*M12,0)</f>
        <v>31</v>
      </c>
      <c r="P12" s="385">
        <f t="shared" si="8"/>
        <v>47</v>
      </c>
      <c r="Q12" s="386">
        <f>25</f>
        <v>25</v>
      </c>
      <c r="R12" s="386">
        <v>10</v>
      </c>
      <c r="S12" s="390">
        <v>170</v>
      </c>
      <c r="T12" s="387">
        <f t="shared" si="2"/>
        <v>120.7</v>
      </c>
      <c r="U12" s="391"/>
      <c r="V12" s="391"/>
      <c r="W12" s="392">
        <f t="shared" si="3"/>
        <v>120.7</v>
      </c>
      <c r="X12" s="392">
        <f t="shared" si="4"/>
        <v>120.7</v>
      </c>
      <c r="Y12" s="387">
        <v>120.7</v>
      </c>
      <c r="Z12" s="387">
        <v>120.7</v>
      </c>
    </row>
    <row r="13" spans="1:26" s="389" customFormat="1" ht="15.75" hidden="1" customHeight="1" x14ac:dyDescent="0.25">
      <c r="A13" s="384" t="s">
        <v>104</v>
      </c>
      <c r="B13" s="46">
        <v>6</v>
      </c>
      <c r="C13" s="46">
        <v>9</v>
      </c>
      <c r="D13" s="46">
        <f t="shared" si="5"/>
        <v>15</v>
      </c>
      <c r="E13" s="46">
        <v>15</v>
      </c>
      <c r="F13" s="46"/>
      <c r="G13" s="46">
        <f t="shared" si="6"/>
        <v>6</v>
      </c>
      <c r="H13" s="46">
        <f t="shared" si="6"/>
        <v>9</v>
      </c>
      <c r="I13" s="46">
        <f t="shared" si="1"/>
        <v>15</v>
      </c>
      <c r="J13" s="46">
        <v>7</v>
      </c>
      <c r="K13" s="46">
        <f>15-7</f>
        <v>8</v>
      </c>
      <c r="L13" s="46">
        <f t="shared" si="7"/>
        <v>15</v>
      </c>
      <c r="M13" s="46">
        <v>0.8</v>
      </c>
      <c r="N13" s="385">
        <f t="shared" si="9"/>
        <v>7</v>
      </c>
      <c r="O13" s="385">
        <f t="shared" si="10"/>
        <v>6</v>
      </c>
      <c r="P13" s="385">
        <f t="shared" si="8"/>
        <v>13</v>
      </c>
      <c r="Q13" s="386">
        <f>25</f>
        <v>25</v>
      </c>
      <c r="R13" s="386">
        <v>10</v>
      </c>
      <c r="S13" s="390">
        <v>170</v>
      </c>
      <c r="T13" s="387">
        <f t="shared" si="2"/>
        <v>39.950000000000003</v>
      </c>
      <c r="U13" s="391"/>
      <c r="V13" s="391"/>
      <c r="W13" s="392">
        <f t="shared" si="3"/>
        <v>39.950000000000003</v>
      </c>
      <c r="X13" s="392">
        <f t="shared" si="4"/>
        <v>39.950000000000003</v>
      </c>
      <c r="Y13" s="387">
        <v>39.950000000000003</v>
      </c>
      <c r="Z13" s="387">
        <v>39.950000000000003</v>
      </c>
    </row>
    <row r="14" spans="1:26" s="389" customFormat="1" ht="15.75" hidden="1" customHeight="1" x14ac:dyDescent="0.25">
      <c r="A14" s="384" t="s">
        <v>105</v>
      </c>
      <c r="B14" s="46">
        <v>10</v>
      </c>
      <c r="C14" s="46">
        <v>15</v>
      </c>
      <c r="D14" s="46">
        <f t="shared" si="5"/>
        <v>25</v>
      </c>
      <c r="E14" s="46">
        <v>23</v>
      </c>
      <c r="F14" s="46"/>
      <c r="G14" s="46">
        <f t="shared" si="6"/>
        <v>10</v>
      </c>
      <c r="H14" s="46">
        <f t="shared" si="6"/>
        <v>15</v>
      </c>
      <c r="I14" s="46">
        <f t="shared" si="1"/>
        <v>25</v>
      </c>
      <c r="J14" s="46">
        <v>12</v>
      </c>
      <c r="K14" s="46">
        <f>25-12</f>
        <v>13</v>
      </c>
      <c r="L14" s="46">
        <f t="shared" si="7"/>
        <v>25</v>
      </c>
      <c r="M14" s="46">
        <v>0.8</v>
      </c>
      <c r="N14" s="385">
        <f t="shared" si="9"/>
        <v>12</v>
      </c>
      <c r="O14" s="385">
        <v>15</v>
      </c>
      <c r="P14" s="385">
        <f t="shared" si="8"/>
        <v>27</v>
      </c>
      <c r="Q14" s="386">
        <f>25</f>
        <v>25</v>
      </c>
      <c r="R14" s="386">
        <v>10</v>
      </c>
      <c r="S14" s="390">
        <v>170</v>
      </c>
      <c r="T14" s="387">
        <f t="shared" si="2"/>
        <v>76.5</v>
      </c>
      <c r="U14" s="391"/>
      <c r="V14" s="391"/>
      <c r="W14" s="392">
        <f t="shared" si="3"/>
        <v>76.5</v>
      </c>
      <c r="X14" s="392">
        <f t="shared" si="4"/>
        <v>76.5</v>
      </c>
      <c r="Y14" s="387">
        <v>76.5</v>
      </c>
      <c r="Z14" s="387">
        <v>76.5</v>
      </c>
    </row>
    <row r="15" spans="1:26" s="389" customFormat="1" ht="15.75" hidden="1" customHeight="1" x14ac:dyDescent="0.25">
      <c r="A15" s="384" t="s">
        <v>106</v>
      </c>
      <c r="B15" s="46">
        <v>20</v>
      </c>
      <c r="C15" s="46">
        <v>0</v>
      </c>
      <c r="D15" s="46">
        <f t="shared" si="5"/>
        <v>20</v>
      </c>
      <c r="E15" s="46">
        <v>16</v>
      </c>
      <c r="F15" s="46"/>
      <c r="G15" s="46">
        <f t="shared" si="6"/>
        <v>20</v>
      </c>
      <c r="H15" s="46">
        <f t="shared" si="6"/>
        <v>0</v>
      </c>
      <c r="I15" s="46">
        <f t="shared" si="1"/>
        <v>20</v>
      </c>
      <c r="J15" s="46">
        <v>20</v>
      </c>
      <c r="K15" s="46">
        <v>0</v>
      </c>
      <c r="L15" s="46">
        <f t="shared" si="7"/>
        <v>20</v>
      </c>
      <c r="M15" s="46">
        <v>0.8</v>
      </c>
      <c r="N15" s="385">
        <v>16</v>
      </c>
      <c r="O15" s="385">
        <f t="shared" si="10"/>
        <v>0</v>
      </c>
      <c r="P15" s="385">
        <f t="shared" si="8"/>
        <v>16</v>
      </c>
      <c r="Q15" s="386">
        <f>25</f>
        <v>25</v>
      </c>
      <c r="R15" s="386">
        <v>10</v>
      </c>
      <c r="S15" s="390">
        <v>170</v>
      </c>
      <c r="T15" s="387">
        <f t="shared" si="2"/>
        <v>68</v>
      </c>
      <c r="U15" s="391"/>
      <c r="V15" s="391"/>
      <c r="W15" s="392">
        <f t="shared" si="3"/>
        <v>68</v>
      </c>
      <c r="X15" s="392">
        <f t="shared" si="4"/>
        <v>68</v>
      </c>
      <c r="Y15" s="387">
        <v>68</v>
      </c>
      <c r="Z15" s="387">
        <v>68</v>
      </c>
    </row>
    <row r="16" spans="1:26" s="389" customFormat="1" ht="15.75" hidden="1" customHeight="1" x14ac:dyDescent="0.25">
      <c r="A16" s="384" t="s">
        <v>107</v>
      </c>
      <c r="B16" s="46">
        <v>3</v>
      </c>
      <c r="C16" s="46">
        <v>0</v>
      </c>
      <c r="D16" s="46">
        <f t="shared" si="5"/>
        <v>3</v>
      </c>
      <c r="E16" s="46">
        <v>2</v>
      </c>
      <c r="F16" s="46"/>
      <c r="G16" s="46">
        <f t="shared" si="6"/>
        <v>3</v>
      </c>
      <c r="H16" s="46">
        <f t="shared" si="6"/>
        <v>0</v>
      </c>
      <c r="I16" s="46">
        <f t="shared" si="1"/>
        <v>3</v>
      </c>
      <c r="J16" s="46">
        <v>3</v>
      </c>
      <c r="K16" s="46">
        <v>0</v>
      </c>
      <c r="L16" s="46">
        <f t="shared" si="7"/>
        <v>3</v>
      </c>
      <c r="M16" s="46">
        <v>0.8</v>
      </c>
      <c r="N16" s="385">
        <f t="shared" si="9"/>
        <v>3</v>
      </c>
      <c r="O16" s="385">
        <f t="shared" si="10"/>
        <v>0</v>
      </c>
      <c r="P16" s="385">
        <f t="shared" si="8"/>
        <v>3</v>
      </c>
      <c r="Q16" s="386">
        <f>25</f>
        <v>25</v>
      </c>
      <c r="R16" s="386">
        <v>10</v>
      </c>
      <c r="S16" s="390">
        <v>170</v>
      </c>
      <c r="T16" s="387">
        <f t="shared" si="2"/>
        <v>12.75</v>
      </c>
      <c r="U16" s="391"/>
      <c r="V16" s="391"/>
      <c r="W16" s="392">
        <f t="shared" si="3"/>
        <v>12.75</v>
      </c>
      <c r="X16" s="392">
        <f t="shared" si="4"/>
        <v>12.75</v>
      </c>
      <c r="Y16" s="387">
        <v>12.75</v>
      </c>
      <c r="Z16" s="387">
        <v>12.75</v>
      </c>
    </row>
    <row r="17" spans="1:26" s="389" customFormat="1" ht="15.75" hidden="1" customHeight="1" x14ac:dyDescent="0.25">
      <c r="A17" s="384" t="s">
        <v>108</v>
      </c>
      <c r="B17" s="46">
        <v>2</v>
      </c>
      <c r="C17" s="46">
        <v>0</v>
      </c>
      <c r="D17" s="46">
        <f t="shared" si="5"/>
        <v>2</v>
      </c>
      <c r="E17" s="46">
        <v>3</v>
      </c>
      <c r="F17" s="46"/>
      <c r="G17" s="46">
        <f t="shared" si="6"/>
        <v>2</v>
      </c>
      <c r="H17" s="46">
        <f t="shared" si="6"/>
        <v>0</v>
      </c>
      <c r="I17" s="46">
        <f t="shared" si="1"/>
        <v>2</v>
      </c>
      <c r="J17" s="46">
        <v>4</v>
      </c>
      <c r="K17" s="46">
        <v>0</v>
      </c>
      <c r="L17" s="46">
        <f t="shared" si="7"/>
        <v>4</v>
      </c>
      <c r="M17" s="46">
        <v>0.8</v>
      </c>
      <c r="N17" s="385">
        <f t="shared" si="9"/>
        <v>4</v>
      </c>
      <c r="O17" s="385">
        <f t="shared" si="10"/>
        <v>0</v>
      </c>
      <c r="P17" s="385">
        <f t="shared" si="8"/>
        <v>4</v>
      </c>
      <c r="Q17" s="386">
        <f>25</f>
        <v>25</v>
      </c>
      <c r="R17" s="386">
        <v>10</v>
      </c>
      <c r="S17" s="390">
        <v>170</v>
      </c>
      <c r="T17" s="387">
        <f t="shared" si="2"/>
        <v>17</v>
      </c>
      <c r="U17" s="391"/>
      <c r="V17" s="391"/>
      <c r="W17" s="392">
        <f t="shared" si="3"/>
        <v>17</v>
      </c>
      <c r="X17" s="392">
        <f t="shared" si="4"/>
        <v>17</v>
      </c>
      <c r="Y17" s="387">
        <v>17</v>
      </c>
      <c r="Z17" s="387">
        <v>17</v>
      </c>
    </row>
    <row r="18" spans="1:26" s="389" customFormat="1" ht="15.75" hidden="1" customHeight="1" x14ac:dyDescent="0.25">
      <c r="A18" s="38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385"/>
      <c r="O18" s="385"/>
      <c r="P18" s="385"/>
      <c r="Q18" s="386"/>
      <c r="R18" s="386"/>
      <c r="S18" s="385"/>
      <c r="T18" s="387">
        <f t="shared" si="2"/>
        <v>0</v>
      </c>
      <c r="U18" s="391"/>
      <c r="V18" s="391"/>
      <c r="W18" s="393"/>
      <c r="X18" s="393"/>
      <c r="Y18" s="387">
        <v>0</v>
      </c>
      <c r="Z18" s="387">
        <v>0</v>
      </c>
    </row>
    <row r="19" spans="1:26" s="389" customFormat="1" ht="15.75" customHeight="1" x14ac:dyDescent="0.25">
      <c r="A19" s="384" t="s">
        <v>55</v>
      </c>
      <c r="B19" s="46">
        <f>B20+B21+B22</f>
        <v>292</v>
      </c>
      <c r="C19" s="46">
        <f t="shared" ref="C19:K19" si="11">C20+C21+C22</f>
        <v>344</v>
      </c>
      <c r="D19" s="46">
        <f t="shared" si="11"/>
        <v>636</v>
      </c>
      <c r="E19" s="46">
        <f t="shared" si="11"/>
        <v>625</v>
      </c>
      <c r="F19" s="46">
        <v>627</v>
      </c>
      <c r="G19" s="46">
        <f t="shared" si="11"/>
        <v>292</v>
      </c>
      <c r="H19" s="46">
        <f t="shared" si="11"/>
        <v>344</v>
      </c>
      <c r="I19" s="46">
        <f>H19+G19</f>
        <v>636</v>
      </c>
      <c r="J19" s="46">
        <f t="shared" si="11"/>
        <v>244</v>
      </c>
      <c r="K19" s="46">
        <f t="shared" si="11"/>
        <v>393</v>
      </c>
      <c r="L19" s="46">
        <f>K19+J19</f>
        <v>637</v>
      </c>
      <c r="M19" s="46">
        <v>0.8</v>
      </c>
      <c r="N19" s="385">
        <v>210</v>
      </c>
      <c r="O19" s="385">
        <v>250</v>
      </c>
      <c r="P19" s="385">
        <f>P20+P21+P22</f>
        <v>455</v>
      </c>
      <c r="Q19" s="386">
        <v>25</v>
      </c>
      <c r="R19" s="386">
        <v>10</v>
      </c>
      <c r="S19" s="385">
        <v>170</v>
      </c>
      <c r="T19" s="387">
        <f t="shared" si="2"/>
        <v>1317.5</v>
      </c>
      <c r="U19" s="388">
        <f>U20+U21+U22</f>
        <v>0</v>
      </c>
      <c r="V19" s="388">
        <f>V20+V21+V22</f>
        <v>0</v>
      </c>
      <c r="W19" s="388">
        <f>W20+W21+W22</f>
        <v>1293.7</v>
      </c>
      <c r="X19" s="388">
        <f>X20+X21+X22</f>
        <v>1293.7</v>
      </c>
      <c r="Y19" s="387">
        <v>1317.5</v>
      </c>
      <c r="Z19" s="387">
        <v>1317.5</v>
      </c>
    </row>
    <row r="20" spans="1:26" s="389" customFormat="1" ht="15.75" hidden="1" customHeight="1" x14ac:dyDescent="0.25">
      <c r="A20" s="384" t="s">
        <v>109</v>
      </c>
      <c r="B20" s="46">
        <v>160</v>
      </c>
      <c r="C20" s="46">
        <v>205</v>
      </c>
      <c r="D20" s="46">
        <f>C20+B20</f>
        <v>365</v>
      </c>
      <c r="E20" s="46">
        <v>361</v>
      </c>
      <c r="F20" s="46"/>
      <c r="G20" s="46">
        <v>160</v>
      </c>
      <c r="H20" s="46">
        <v>205</v>
      </c>
      <c r="I20" s="46">
        <f>H20+G20</f>
        <v>365</v>
      </c>
      <c r="J20" s="46">
        <f>26+20+20+20+20+20</f>
        <v>126</v>
      </c>
      <c r="K20" s="46">
        <f>363-126</f>
        <v>237</v>
      </c>
      <c r="L20" s="46">
        <f>K20+J20</f>
        <v>363</v>
      </c>
      <c r="M20" s="46">
        <v>0.8</v>
      </c>
      <c r="N20" s="385">
        <v>108</v>
      </c>
      <c r="O20" s="385">
        <v>151</v>
      </c>
      <c r="P20" s="385">
        <f>O20+N20</f>
        <v>259</v>
      </c>
      <c r="Q20" s="386">
        <f>25</f>
        <v>25</v>
      </c>
      <c r="R20" s="386">
        <v>10</v>
      </c>
      <c r="S20" s="385">
        <v>170</v>
      </c>
      <c r="T20" s="387">
        <f t="shared" si="2"/>
        <v>715.7</v>
      </c>
      <c r="U20" s="391"/>
      <c r="V20" s="391"/>
      <c r="W20" s="392">
        <f>T20</f>
        <v>715.7</v>
      </c>
      <c r="X20" s="392">
        <f>W20</f>
        <v>715.7</v>
      </c>
      <c r="Y20" s="387">
        <v>715.7</v>
      </c>
      <c r="Z20" s="387">
        <v>715.7</v>
      </c>
    </row>
    <row r="21" spans="1:26" s="389" customFormat="1" ht="15.75" hidden="1" customHeight="1" x14ac:dyDescent="0.25">
      <c r="A21" s="384" t="s">
        <v>78</v>
      </c>
      <c r="B21" s="46">
        <v>66</v>
      </c>
      <c r="C21" s="46">
        <v>81</v>
      </c>
      <c r="D21" s="46">
        <f>C21+B21</f>
        <v>147</v>
      </c>
      <c r="E21" s="46">
        <f>145</f>
        <v>145</v>
      </c>
      <c r="F21" s="46"/>
      <c r="G21" s="46">
        <v>66</v>
      </c>
      <c r="H21" s="46">
        <v>81</v>
      </c>
      <c r="I21" s="46">
        <f>H21+G21</f>
        <v>147</v>
      </c>
      <c r="J21" s="46">
        <f>17+19+13+12</f>
        <v>61</v>
      </c>
      <c r="K21" s="46">
        <f>143-61</f>
        <v>82</v>
      </c>
      <c r="L21" s="46">
        <f>K21+J21</f>
        <v>143</v>
      </c>
      <c r="M21" s="46">
        <v>0.8</v>
      </c>
      <c r="N21" s="385">
        <v>51</v>
      </c>
      <c r="O21" s="385">
        <v>54</v>
      </c>
      <c r="P21" s="385">
        <f>O21+N21</f>
        <v>105</v>
      </c>
      <c r="Q21" s="386">
        <f>25</f>
        <v>25</v>
      </c>
      <c r="R21" s="386">
        <v>10</v>
      </c>
      <c r="S21" s="385">
        <v>170</v>
      </c>
      <c r="T21" s="387">
        <f t="shared" si="2"/>
        <v>308.55</v>
      </c>
      <c r="U21" s="391"/>
      <c r="V21" s="391"/>
      <c r="W21" s="392">
        <f>T21</f>
        <v>308.55</v>
      </c>
      <c r="X21" s="392">
        <f>W21</f>
        <v>308.55</v>
      </c>
      <c r="Y21" s="387">
        <v>308.55</v>
      </c>
      <c r="Z21" s="387">
        <v>308.55</v>
      </c>
    </row>
    <row r="22" spans="1:26" s="389" customFormat="1" ht="15.75" hidden="1" customHeight="1" x14ac:dyDescent="0.25">
      <c r="A22" s="384" t="s">
        <v>110</v>
      </c>
      <c r="B22" s="46">
        <v>66</v>
      </c>
      <c r="C22" s="46">
        <v>58</v>
      </c>
      <c r="D22" s="46">
        <f>C22+B22</f>
        <v>124</v>
      </c>
      <c r="E22" s="46">
        <f>64+18+37</f>
        <v>119</v>
      </c>
      <c r="F22" s="46"/>
      <c r="G22" s="46">
        <v>66</v>
      </c>
      <c r="H22" s="46">
        <v>58</v>
      </c>
      <c r="I22" s="46">
        <f>H22+G22</f>
        <v>124</v>
      </c>
      <c r="J22" s="46">
        <f>15+15+11+16</f>
        <v>57</v>
      </c>
      <c r="K22" s="46">
        <f>131-57</f>
        <v>74</v>
      </c>
      <c r="L22" s="46">
        <f>K22+J22</f>
        <v>131</v>
      </c>
      <c r="M22" s="46">
        <v>0.8</v>
      </c>
      <c r="N22" s="385">
        <v>45</v>
      </c>
      <c r="O22" s="385">
        <v>46</v>
      </c>
      <c r="P22" s="385">
        <f>O22+N22</f>
        <v>91</v>
      </c>
      <c r="Q22" s="386">
        <f>25</f>
        <v>25</v>
      </c>
      <c r="R22" s="386">
        <v>10</v>
      </c>
      <c r="S22" s="385">
        <v>170</v>
      </c>
      <c r="T22" s="387">
        <f t="shared" si="2"/>
        <v>269.45</v>
      </c>
      <c r="U22" s="391"/>
      <c r="V22" s="391"/>
      <c r="W22" s="392">
        <f>T22</f>
        <v>269.45</v>
      </c>
      <c r="X22" s="392">
        <f>W22</f>
        <v>269.45</v>
      </c>
      <c r="Y22" s="387">
        <v>269.45</v>
      </c>
      <c r="Z22" s="387">
        <v>269.45</v>
      </c>
    </row>
    <row r="23" spans="1:26" s="389" customFormat="1" ht="15.75" hidden="1" customHeight="1" x14ac:dyDescent="0.25">
      <c r="A23" s="384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85"/>
      <c r="O23" s="385"/>
      <c r="P23" s="385"/>
      <c r="Q23" s="386"/>
      <c r="R23" s="386"/>
      <c r="S23" s="385"/>
      <c r="T23" s="387">
        <f t="shared" si="2"/>
        <v>0</v>
      </c>
      <c r="U23" s="391"/>
      <c r="V23" s="391"/>
      <c r="W23" s="393"/>
      <c r="X23" s="393"/>
      <c r="Y23" s="387">
        <v>0</v>
      </c>
      <c r="Z23" s="387">
        <v>0</v>
      </c>
    </row>
    <row r="24" spans="1:26" s="389" customFormat="1" ht="15.75" customHeight="1" x14ac:dyDescent="0.25">
      <c r="A24" s="384" t="s">
        <v>60</v>
      </c>
      <c r="B24" s="46">
        <f>B25+B26+B27+B28+B29</f>
        <v>126</v>
      </c>
      <c r="C24" s="46">
        <f t="shared" ref="C24:L24" si="12">C25+C26+C27+C28+C29</f>
        <v>193</v>
      </c>
      <c r="D24" s="46">
        <f t="shared" si="12"/>
        <v>319</v>
      </c>
      <c r="E24" s="46">
        <f t="shared" si="12"/>
        <v>319</v>
      </c>
      <c r="F24" s="46">
        <f t="shared" si="12"/>
        <v>0</v>
      </c>
      <c r="G24" s="46">
        <f t="shared" si="12"/>
        <v>126</v>
      </c>
      <c r="H24" s="46">
        <f t="shared" si="12"/>
        <v>193</v>
      </c>
      <c r="I24" s="46">
        <f t="shared" si="12"/>
        <v>319</v>
      </c>
      <c r="J24" s="46">
        <f t="shared" si="12"/>
        <v>128</v>
      </c>
      <c r="K24" s="46">
        <f t="shared" si="12"/>
        <v>195</v>
      </c>
      <c r="L24" s="46">
        <f t="shared" si="12"/>
        <v>323</v>
      </c>
      <c r="M24" s="46">
        <v>0.8</v>
      </c>
      <c r="N24" s="385">
        <v>90</v>
      </c>
      <c r="O24" s="385">
        <v>150</v>
      </c>
      <c r="P24" s="385">
        <f>P25+P26+P27+P28+P29</f>
        <v>235</v>
      </c>
      <c r="Q24" s="386">
        <v>25</v>
      </c>
      <c r="R24" s="386">
        <v>10</v>
      </c>
      <c r="S24" s="385">
        <v>170</v>
      </c>
      <c r="T24" s="387">
        <f t="shared" si="2"/>
        <v>637.5</v>
      </c>
      <c r="U24" s="388">
        <f>U25+U26+U27+U28+U29</f>
        <v>0</v>
      </c>
      <c r="V24" s="388">
        <f>V25+V26+V27+V28+V29</f>
        <v>0</v>
      </c>
      <c r="W24" s="388">
        <f>W25+W26+W27+W28+W29</f>
        <v>623.90000000000009</v>
      </c>
      <c r="X24" s="388">
        <f>X25+X26+X27+X28+X29</f>
        <v>623.90000000000009</v>
      </c>
      <c r="Y24" s="387">
        <v>637.5</v>
      </c>
      <c r="Z24" s="387">
        <v>637.5</v>
      </c>
    </row>
    <row r="25" spans="1:26" s="389" customFormat="1" ht="15.75" hidden="1" customHeight="1" x14ac:dyDescent="0.25">
      <c r="A25" s="384" t="s">
        <v>111</v>
      </c>
      <c r="B25" s="46">
        <v>108</v>
      </c>
      <c r="C25" s="46">
        <v>187</v>
      </c>
      <c r="D25" s="46">
        <f>C25+B25</f>
        <v>295</v>
      </c>
      <c r="E25" s="46">
        <v>299</v>
      </c>
      <c r="F25" s="46"/>
      <c r="G25" s="46">
        <v>108</v>
      </c>
      <c r="H25" s="46">
        <v>187</v>
      </c>
      <c r="I25" s="46">
        <f>H25+G25</f>
        <v>295</v>
      </c>
      <c r="J25" s="46">
        <v>111</v>
      </c>
      <c r="K25" s="46">
        <v>188</v>
      </c>
      <c r="L25" s="46">
        <f>K25+J25</f>
        <v>299</v>
      </c>
      <c r="M25" s="46">
        <v>0.8</v>
      </c>
      <c r="N25" s="385">
        <v>71</v>
      </c>
      <c r="O25" s="385">
        <v>141</v>
      </c>
      <c r="P25" s="385">
        <f>O25+N25</f>
        <v>212</v>
      </c>
      <c r="Q25" s="386">
        <f>25</f>
        <v>25</v>
      </c>
      <c r="R25" s="386">
        <v>10</v>
      </c>
      <c r="S25" s="385">
        <v>170</v>
      </c>
      <c r="T25" s="387">
        <f t="shared" si="2"/>
        <v>541.45000000000005</v>
      </c>
      <c r="U25" s="391"/>
      <c r="V25" s="391"/>
      <c r="W25" s="392">
        <f>T25</f>
        <v>541.45000000000005</v>
      </c>
      <c r="X25" s="392">
        <f>W25</f>
        <v>541.45000000000005</v>
      </c>
      <c r="Y25" s="387">
        <v>541.45000000000005</v>
      </c>
      <c r="Z25" s="387">
        <v>541.45000000000005</v>
      </c>
    </row>
    <row r="26" spans="1:26" s="389" customFormat="1" ht="15.75" hidden="1" customHeight="1" x14ac:dyDescent="0.25">
      <c r="A26" s="384" t="s">
        <v>112</v>
      </c>
      <c r="B26" s="46">
        <v>3</v>
      </c>
      <c r="C26" s="46">
        <v>6</v>
      </c>
      <c r="D26" s="46">
        <f>C26+B26</f>
        <v>9</v>
      </c>
      <c r="E26" s="46">
        <v>8</v>
      </c>
      <c r="F26" s="46"/>
      <c r="G26" s="46">
        <v>3</v>
      </c>
      <c r="H26" s="46">
        <v>6</v>
      </c>
      <c r="I26" s="46">
        <f>H26+G26</f>
        <v>9</v>
      </c>
      <c r="J26" s="46">
        <v>3</v>
      </c>
      <c r="K26" s="46">
        <v>7</v>
      </c>
      <c r="L26" s="46">
        <f>K26+J26</f>
        <v>10</v>
      </c>
      <c r="M26" s="46">
        <v>0.8</v>
      </c>
      <c r="N26" s="385">
        <f>J26</f>
        <v>3</v>
      </c>
      <c r="O26" s="385">
        <f>ROUND(K26*M26,0)</f>
        <v>6</v>
      </c>
      <c r="P26" s="385">
        <f>O26+N26</f>
        <v>9</v>
      </c>
      <c r="Q26" s="386">
        <f>25</f>
        <v>25</v>
      </c>
      <c r="R26" s="386">
        <v>10</v>
      </c>
      <c r="S26" s="385">
        <v>170</v>
      </c>
      <c r="T26" s="387">
        <f t="shared" si="2"/>
        <v>22.95</v>
      </c>
      <c r="U26" s="391"/>
      <c r="V26" s="391"/>
      <c r="W26" s="392">
        <f>T26</f>
        <v>22.95</v>
      </c>
      <c r="X26" s="392">
        <f>W26</f>
        <v>22.95</v>
      </c>
      <c r="Y26" s="387">
        <v>22.95</v>
      </c>
      <c r="Z26" s="387">
        <v>22.95</v>
      </c>
    </row>
    <row r="27" spans="1:26" s="389" customFormat="1" ht="15.75" hidden="1" customHeight="1" x14ac:dyDescent="0.25">
      <c r="A27" s="384" t="s">
        <v>113</v>
      </c>
      <c r="B27" s="46">
        <v>5</v>
      </c>
      <c r="C27" s="46">
        <v>0</v>
      </c>
      <c r="D27" s="46">
        <f>C27+B27</f>
        <v>5</v>
      </c>
      <c r="E27" s="46">
        <v>5</v>
      </c>
      <c r="F27" s="46"/>
      <c r="G27" s="46">
        <v>5</v>
      </c>
      <c r="H27" s="46">
        <v>0</v>
      </c>
      <c r="I27" s="46">
        <f>H27+G27</f>
        <v>5</v>
      </c>
      <c r="J27" s="46">
        <v>6</v>
      </c>
      <c r="K27" s="46">
        <v>0</v>
      </c>
      <c r="L27" s="46">
        <f>K27+J27</f>
        <v>6</v>
      </c>
      <c r="M27" s="46">
        <v>0.8</v>
      </c>
      <c r="N27" s="385">
        <f>J27</f>
        <v>6</v>
      </c>
      <c r="O27" s="385">
        <f>ROUND(K27*M27,0)</f>
        <v>0</v>
      </c>
      <c r="P27" s="385">
        <f>O27+N27</f>
        <v>6</v>
      </c>
      <c r="Q27" s="386">
        <f>25</f>
        <v>25</v>
      </c>
      <c r="R27" s="386">
        <v>10</v>
      </c>
      <c r="S27" s="385">
        <v>170</v>
      </c>
      <c r="T27" s="387">
        <f t="shared" si="2"/>
        <v>25.5</v>
      </c>
      <c r="U27" s="391"/>
      <c r="V27" s="391"/>
      <c r="W27" s="392">
        <f>T27</f>
        <v>25.5</v>
      </c>
      <c r="X27" s="392">
        <f>W27</f>
        <v>25.5</v>
      </c>
      <c r="Y27" s="387">
        <v>25.5</v>
      </c>
      <c r="Z27" s="387">
        <v>25.5</v>
      </c>
    </row>
    <row r="28" spans="1:26" s="389" customFormat="1" ht="15.75" hidden="1" customHeight="1" x14ac:dyDescent="0.25">
      <c r="A28" s="384" t="s">
        <v>114</v>
      </c>
      <c r="B28" s="46">
        <v>5</v>
      </c>
      <c r="C28" s="46">
        <v>0</v>
      </c>
      <c r="D28" s="46">
        <f>C28+B28</f>
        <v>5</v>
      </c>
      <c r="E28" s="46">
        <v>3</v>
      </c>
      <c r="F28" s="46"/>
      <c r="G28" s="46">
        <v>5</v>
      </c>
      <c r="H28" s="46">
        <v>0</v>
      </c>
      <c r="I28" s="46">
        <f>H28+G28</f>
        <v>5</v>
      </c>
      <c r="J28" s="46">
        <v>5</v>
      </c>
      <c r="K28" s="46">
        <v>0</v>
      </c>
      <c r="L28" s="46">
        <f>K28+J28</f>
        <v>5</v>
      </c>
      <c r="M28" s="46">
        <v>0.8</v>
      </c>
      <c r="N28" s="385">
        <f>J28</f>
        <v>5</v>
      </c>
      <c r="O28" s="385">
        <f>ROUND(K28*M28,0)</f>
        <v>0</v>
      </c>
      <c r="P28" s="385">
        <f>O28+N28</f>
        <v>5</v>
      </c>
      <c r="Q28" s="386">
        <f>25</f>
        <v>25</v>
      </c>
      <c r="R28" s="386">
        <v>10</v>
      </c>
      <c r="S28" s="385">
        <v>170</v>
      </c>
      <c r="T28" s="387">
        <f t="shared" si="2"/>
        <v>21.25</v>
      </c>
      <c r="U28" s="391"/>
      <c r="V28" s="391"/>
      <c r="W28" s="392">
        <f>T28</f>
        <v>21.25</v>
      </c>
      <c r="X28" s="392">
        <f>W28</f>
        <v>21.25</v>
      </c>
      <c r="Y28" s="387">
        <v>21.25</v>
      </c>
      <c r="Z28" s="387">
        <v>21.25</v>
      </c>
    </row>
    <row r="29" spans="1:26" s="389" customFormat="1" ht="15.75" hidden="1" customHeight="1" x14ac:dyDescent="0.25">
      <c r="A29" s="384" t="s">
        <v>115</v>
      </c>
      <c r="B29" s="46">
        <v>5</v>
      </c>
      <c r="C29" s="46">
        <v>0</v>
      </c>
      <c r="D29" s="46">
        <f>C29+B29</f>
        <v>5</v>
      </c>
      <c r="E29" s="46">
        <v>4</v>
      </c>
      <c r="F29" s="46"/>
      <c r="G29" s="46">
        <v>5</v>
      </c>
      <c r="H29" s="46">
        <v>0</v>
      </c>
      <c r="I29" s="46">
        <f>H29+G29</f>
        <v>5</v>
      </c>
      <c r="J29" s="46">
        <v>3</v>
      </c>
      <c r="K29" s="46">
        <v>0</v>
      </c>
      <c r="L29" s="46">
        <f>K29+J29</f>
        <v>3</v>
      </c>
      <c r="M29" s="46">
        <v>0.8</v>
      </c>
      <c r="N29" s="385">
        <f>J29</f>
        <v>3</v>
      </c>
      <c r="O29" s="385">
        <f>ROUND(K29*M29,0)</f>
        <v>0</v>
      </c>
      <c r="P29" s="385">
        <f>O29+N29</f>
        <v>3</v>
      </c>
      <c r="Q29" s="386">
        <f>25</f>
        <v>25</v>
      </c>
      <c r="R29" s="386">
        <v>10</v>
      </c>
      <c r="S29" s="385">
        <v>170</v>
      </c>
      <c r="T29" s="387">
        <f t="shared" si="2"/>
        <v>12.75</v>
      </c>
      <c r="U29" s="391"/>
      <c r="V29" s="391"/>
      <c r="W29" s="392">
        <f>T29</f>
        <v>12.75</v>
      </c>
      <c r="X29" s="392">
        <f>W29</f>
        <v>12.75</v>
      </c>
      <c r="Y29" s="387">
        <v>12.75</v>
      </c>
      <c r="Z29" s="387">
        <v>12.75</v>
      </c>
    </row>
    <row r="30" spans="1:26" s="389" customFormat="1" ht="15.75" hidden="1" customHeight="1" x14ac:dyDescent="0.25">
      <c r="A30" s="38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85"/>
      <c r="O30" s="385"/>
      <c r="P30" s="385"/>
      <c r="Q30" s="386"/>
      <c r="R30" s="386"/>
      <c r="S30" s="385"/>
      <c r="T30" s="387">
        <f t="shared" si="2"/>
        <v>0</v>
      </c>
      <c r="U30" s="391"/>
      <c r="V30" s="391"/>
      <c r="W30" s="393"/>
      <c r="X30" s="393"/>
      <c r="Y30" s="387">
        <v>0</v>
      </c>
      <c r="Z30" s="387">
        <v>0</v>
      </c>
    </row>
    <row r="31" spans="1:26" s="389" customFormat="1" ht="15.75" customHeight="1" x14ac:dyDescent="0.25">
      <c r="A31" s="384" t="s">
        <v>57</v>
      </c>
      <c r="B31" s="394">
        <f>B32+B33</f>
        <v>116</v>
      </c>
      <c r="C31" s="394">
        <f t="shared" ref="C31:K31" si="13">C32+C33</f>
        <v>165</v>
      </c>
      <c r="D31" s="394">
        <f t="shared" si="13"/>
        <v>281</v>
      </c>
      <c r="E31" s="394">
        <f>E32+E33</f>
        <v>275</v>
      </c>
      <c r="F31" s="394">
        <v>270</v>
      </c>
      <c r="G31" s="394">
        <f t="shared" si="13"/>
        <v>116</v>
      </c>
      <c r="H31" s="394">
        <f t="shared" si="13"/>
        <v>165</v>
      </c>
      <c r="I31" s="46">
        <f>H31+G31</f>
        <v>281</v>
      </c>
      <c r="J31" s="394">
        <f t="shared" si="13"/>
        <v>117</v>
      </c>
      <c r="K31" s="394">
        <f t="shared" si="13"/>
        <v>167</v>
      </c>
      <c r="L31" s="46">
        <f>K31+J31</f>
        <v>284</v>
      </c>
      <c r="M31" s="46">
        <v>0.8</v>
      </c>
      <c r="N31" s="385">
        <f>N32+N33</f>
        <v>102</v>
      </c>
      <c r="O31" s="385">
        <f>O32+O33</f>
        <v>110</v>
      </c>
      <c r="P31" s="385">
        <f>P32+P33</f>
        <v>212</v>
      </c>
      <c r="Q31" s="386">
        <v>25</v>
      </c>
      <c r="R31" s="386">
        <v>10</v>
      </c>
      <c r="S31" s="390">
        <v>170</v>
      </c>
      <c r="T31" s="387">
        <f t="shared" si="2"/>
        <v>620.5</v>
      </c>
      <c r="U31" s="388">
        <f>U32+U33</f>
        <v>0</v>
      </c>
      <c r="V31" s="388">
        <f>V32+V33</f>
        <v>0</v>
      </c>
      <c r="W31" s="388">
        <f>W32+W33</f>
        <v>620.5</v>
      </c>
      <c r="X31" s="388">
        <f>X32+X33</f>
        <v>620.5</v>
      </c>
      <c r="Y31" s="387">
        <v>620.5</v>
      </c>
      <c r="Z31" s="387">
        <v>620.5</v>
      </c>
    </row>
    <row r="32" spans="1:26" s="389" customFormat="1" ht="15.75" hidden="1" customHeight="1" x14ac:dyDescent="0.25">
      <c r="A32" s="384" t="s">
        <v>116</v>
      </c>
      <c r="B32" s="394">
        <v>102</v>
      </c>
      <c r="C32" s="394">
        <v>146</v>
      </c>
      <c r="D32" s="46">
        <f>C32+B32</f>
        <v>248</v>
      </c>
      <c r="E32" s="394">
        <f>241+5</f>
        <v>246</v>
      </c>
      <c r="F32" s="394"/>
      <c r="G32" s="394">
        <v>102</v>
      </c>
      <c r="H32" s="394">
        <v>146</v>
      </c>
      <c r="I32" s="46">
        <f>H32+G32</f>
        <v>248</v>
      </c>
      <c r="J32" s="46">
        <v>103</v>
      </c>
      <c r="K32" s="46">
        <f>116+32</f>
        <v>148</v>
      </c>
      <c r="L32" s="46">
        <f>K32+J32</f>
        <v>251</v>
      </c>
      <c r="M32" s="46">
        <v>0.8</v>
      </c>
      <c r="N32" s="385">
        <v>88</v>
      </c>
      <c r="O32" s="385">
        <v>95</v>
      </c>
      <c r="P32" s="385">
        <f>O32+N32</f>
        <v>183</v>
      </c>
      <c r="Q32" s="386">
        <f>25</f>
        <v>25</v>
      </c>
      <c r="R32" s="386">
        <v>10</v>
      </c>
      <c r="S32" s="390">
        <v>170</v>
      </c>
      <c r="T32" s="387">
        <f t="shared" si="2"/>
        <v>535.5</v>
      </c>
      <c r="U32" s="391"/>
      <c r="V32" s="391"/>
      <c r="W32" s="392">
        <f>T32</f>
        <v>535.5</v>
      </c>
      <c r="X32" s="392">
        <f>W32</f>
        <v>535.5</v>
      </c>
      <c r="Y32" s="387">
        <v>535.5</v>
      </c>
      <c r="Z32" s="387">
        <v>535.5</v>
      </c>
    </row>
    <row r="33" spans="1:26" s="389" customFormat="1" ht="15.75" hidden="1" customHeight="1" x14ac:dyDescent="0.25">
      <c r="A33" s="384" t="s">
        <v>117</v>
      </c>
      <c r="B33" s="394">
        <v>14</v>
      </c>
      <c r="C33" s="394">
        <v>19</v>
      </c>
      <c r="D33" s="46">
        <f>C33+B33</f>
        <v>33</v>
      </c>
      <c r="E33" s="394">
        <v>29</v>
      </c>
      <c r="F33" s="394"/>
      <c r="G33" s="394">
        <v>14</v>
      </c>
      <c r="H33" s="394">
        <v>19</v>
      </c>
      <c r="I33" s="46">
        <f>H33+G33</f>
        <v>33</v>
      </c>
      <c r="J33" s="46">
        <v>14</v>
      </c>
      <c r="K33" s="46">
        <f>15+4</f>
        <v>19</v>
      </c>
      <c r="L33" s="46">
        <f>K33+J33</f>
        <v>33</v>
      </c>
      <c r="M33" s="46">
        <v>0.8</v>
      </c>
      <c r="N33" s="385">
        <f>J33</f>
        <v>14</v>
      </c>
      <c r="O33" s="385">
        <f>ROUND(K33*M33,0)</f>
        <v>15</v>
      </c>
      <c r="P33" s="385">
        <f>O33+N33</f>
        <v>29</v>
      </c>
      <c r="Q33" s="386">
        <f>25</f>
        <v>25</v>
      </c>
      <c r="R33" s="386">
        <v>10</v>
      </c>
      <c r="S33" s="390">
        <v>170</v>
      </c>
      <c r="T33" s="387">
        <f t="shared" si="2"/>
        <v>85</v>
      </c>
      <c r="U33" s="391"/>
      <c r="V33" s="391"/>
      <c r="W33" s="392">
        <f>T33</f>
        <v>85</v>
      </c>
      <c r="X33" s="392">
        <f>W33</f>
        <v>85</v>
      </c>
      <c r="Y33" s="387">
        <v>85</v>
      </c>
      <c r="Z33" s="387">
        <v>85</v>
      </c>
    </row>
    <row r="34" spans="1:26" s="389" customFormat="1" ht="15.75" hidden="1" customHeight="1" x14ac:dyDescent="0.25">
      <c r="A34" s="384"/>
      <c r="B34" s="394"/>
      <c r="C34" s="394"/>
      <c r="D34" s="46"/>
      <c r="E34" s="394"/>
      <c r="F34" s="394"/>
      <c r="G34" s="394"/>
      <c r="H34" s="394"/>
      <c r="I34" s="46"/>
      <c r="J34" s="46"/>
      <c r="K34" s="46"/>
      <c r="L34" s="46"/>
      <c r="M34" s="46"/>
      <c r="N34" s="385"/>
      <c r="O34" s="385"/>
      <c r="P34" s="385"/>
      <c r="Q34" s="386"/>
      <c r="R34" s="386"/>
      <c r="S34" s="390"/>
      <c r="T34" s="387">
        <f t="shared" si="2"/>
        <v>0</v>
      </c>
      <c r="U34" s="391"/>
      <c r="V34" s="391"/>
      <c r="W34" s="393"/>
      <c r="X34" s="393"/>
      <c r="Y34" s="387">
        <v>0</v>
      </c>
      <c r="Z34" s="387">
        <v>0</v>
      </c>
    </row>
    <row r="35" spans="1:26" s="389" customFormat="1" ht="15.75" customHeight="1" x14ac:dyDescent="0.25">
      <c r="A35" s="384" t="s">
        <v>61</v>
      </c>
      <c r="B35" s="394">
        <f>B40+B39+B38+B37+B36</f>
        <v>342</v>
      </c>
      <c r="C35" s="394">
        <f>C40+C39+C38+C37+C36</f>
        <v>476</v>
      </c>
      <c r="D35" s="394">
        <f>D40+D39+D38+D37+D36</f>
        <v>818</v>
      </c>
      <c r="E35" s="394">
        <f>E40+E39+E38+E37+E36</f>
        <v>784</v>
      </c>
      <c r="F35" s="394"/>
      <c r="G35" s="394">
        <f t="shared" ref="G35:L35" si="14">G40+G39+G38+G37+G36</f>
        <v>342</v>
      </c>
      <c r="H35" s="394">
        <f t="shared" si="14"/>
        <v>476</v>
      </c>
      <c r="I35" s="394">
        <f t="shared" si="14"/>
        <v>818</v>
      </c>
      <c r="J35" s="394">
        <f t="shared" si="14"/>
        <v>300</v>
      </c>
      <c r="K35" s="394">
        <f t="shared" si="14"/>
        <v>434</v>
      </c>
      <c r="L35" s="394">
        <f t="shared" si="14"/>
        <v>734</v>
      </c>
      <c r="M35" s="46">
        <v>0.8</v>
      </c>
      <c r="N35" s="385">
        <v>215</v>
      </c>
      <c r="O35" s="385">
        <v>245</v>
      </c>
      <c r="P35" s="385">
        <f>P36+P37+P38+P39+P40</f>
        <v>458</v>
      </c>
      <c r="Q35" s="386">
        <v>25</v>
      </c>
      <c r="R35" s="386">
        <v>10</v>
      </c>
      <c r="S35" s="390">
        <v>170</v>
      </c>
      <c r="T35" s="387">
        <f t="shared" si="2"/>
        <v>1330.25</v>
      </c>
      <c r="U35" s="388">
        <f>U36+U37+U38+U39+U40</f>
        <v>0</v>
      </c>
      <c r="V35" s="388">
        <f>V36+V37+V38+V39+V40</f>
        <v>0</v>
      </c>
      <c r="W35" s="388">
        <f>W36+W37+W38+W39+W40</f>
        <v>1324.3000000000002</v>
      </c>
      <c r="X35" s="388">
        <f>X36+X37+X38+X39+X40</f>
        <v>1324.3000000000002</v>
      </c>
      <c r="Y35" s="387">
        <v>1330.3</v>
      </c>
      <c r="Z35" s="387">
        <v>1330.3</v>
      </c>
    </row>
    <row r="36" spans="1:26" s="389" customFormat="1" ht="15.75" hidden="1" customHeight="1" x14ac:dyDescent="0.25">
      <c r="A36" s="384" t="s">
        <v>118</v>
      </c>
      <c r="B36" s="394">
        <v>0</v>
      </c>
      <c r="C36" s="394">
        <v>75</v>
      </c>
      <c r="D36" s="46">
        <f>C36+B36</f>
        <v>75</v>
      </c>
      <c r="E36" s="394">
        <v>71</v>
      </c>
      <c r="F36" s="394"/>
      <c r="G36" s="394">
        <v>0</v>
      </c>
      <c r="H36" s="394">
        <v>75</v>
      </c>
      <c r="I36" s="46">
        <f>H36+G36</f>
        <v>75</v>
      </c>
      <c r="J36" s="46">
        <v>0</v>
      </c>
      <c r="K36" s="46">
        <v>70</v>
      </c>
      <c r="L36" s="46">
        <f>K36+J36</f>
        <v>70</v>
      </c>
      <c r="M36" s="46">
        <v>0.8</v>
      </c>
      <c r="N36" s="385">
        <f>J36</f>
        <v>0</v>
      </c>
      <c r="O36" s="385">
        <f>ROUND(K36*M36,0)</f>
        <v>56</v>
      </c>
      <c r="P36" s="385">
        <f>O36+N36</f>
        <v>56</v>
      </c>
      <c r="Q36" s="386">
        <f>25</f>
        <v>25</v>
      </c>
      <c r="R36" s="386">
        <v>10</v>
      </c>
      <c r="S36" s="390">
        <v>170</v>
      </c>
      <c r="T36" s="387">
        <f t="shared" si="2"/>
        <v>95.2</v>
      </c>
      <c r="U36" s="391"/>
      <c r="V36" s="391"/>
      <c r="W36" s="392">
        <f>T36</f>
        <v>95.2</v>
      </c>
      <c r="X36" s="392">
        <f>W36</f>
        <v>95.2</v>
      </c>
      <c r="Y36" s="387">
        <v>95.2</v>
      </c>
      <c r="Z36" s="387">
        <v>95.2</v>
      </c>
    </row>
    <row r="37" spans="1:26" s="389" customFormat="1" ht="15.75" hidden="1" customHeight="1" x14ac:dyDescent="0.25">
      <c r="A37" s="384" t="s">
        <v>119</v>
      </c>
      <c r="B37" s="394">
        <v>0</v>
      </c>
      <c r="C37" s="394">
        <v>294</v>
      </c>
      <c r="D37" s="46">
        <f>C37+B37</f>
        <v>294</v>
      </c>
      <c r="E37" s="394">
        <v>271</v>
      </c>
      <c r="F37" s="394"/>
      <c r="G37" s="394">
        <v>0</v>
      </c>
      <c r="H37" s="394">
        <v>294</v>
      </c>
      <c r="I37" s="46">
        <f>H37+G37</f>
        <v>294</v>
      </c>
      <c r="J37" s="46">
        <v>0</v>
      </c>
      <c r="K37" s="46">
        <f>286-20</f>
        <v>266</v>
      </c>
      <c r="L37" s="46">
        <f>K37+J37</f>
        <v>266</v>
      </c>
      <c r="M37" s="46">
        <v>0.8</v>
      </c>
      <c r="N37" s="385">
        <f>J37</f>
        <v>0</v>
      </c>
      <c r="O37" s="385">
        <v>110</v>
      </c>
      <c r="P37" s="385">
        <f>O37+N37</f>
        <v>110</v>
      </c>
      <c r="Q37" s="386">
        <f>25</f>
        <v>25</v>
      </c>
      <c r="R37" s="386">
        <v>10</v>
      </c>
      <c r="S37" s="390">
        <v>170</v>
      </c>
      <c r="T37" s="387">
        <f t="shared" si="2"/>
        <v>187</v>
      </c>
      <c r="U37" s="391"/>
      <c r="V37" s="391"/>
      <c r="W37" s="392">
        <f>T37</f>
        <v>187</v>
      </c>
      <c r="X37" s="392">
        <f>W37</f>
        <v>187</v>
      </c>
      <c r="Y37" s="387">
        <v>187</v>
      </c>
      <c r="Z37" s="387">
        <v>187</v>
      </c>
    </row>
    <row r="38" spans="1:26" s="389" customFormat="1" ht="15.75" hidden="1" customHeight="1" x14ac:dyDescent="0.25">
      <c r="A38" s="384" t="s">
        <v>120</v>
      </c>
      <c r="B38" s="394">
        <v>218</v>
      </c>
      <c r="C38" s="394">
        <v>0</v>
      </c>
      <c r="D38" s="46">
        <f>C38+B38</f>
        <v>218</v>
      </c>
      <c r="E38" s="394">
        <v>222</v>
      </c>
      <c r="F38" s="394"/>
      <c r="G38" s="394">
        <v>218</v>
      </c>
      <c r="H38" s="394">
        <v>0</v>
      </c>
      <c r="I38" s="46">
        <f>H38+G38</f>
        <v>218</v>
      </c>
      <c r="J38" s="46">
        <f>213-18</f>
        <v>195</v>
      </c>
      <c r="K38" s="46">
        <v>0</v>
      </c>
      <c r="L38" s="46">
        <f>K38+J38</f>
        <v>195</v>
      </c>
      <c r="M38" s="46">
        <v>0.8</v>
      </c>
      <c r="N38" s="385">
        <v>136</v>
      </c>
      <c r="O38" s="385">
        <f>ROUND(K38*M38,0)</f>
        <v>0</v>
      </c>
      <c r="P38" s="385">
        <f>O38+N38</f>
        <v>136</v>
      </c>
      <c r="Q38" s="386">
        <f>25</f>
        <v>25</v>
      </c>
      <c r="R38" s="386">
        <v>10</v>
      </c>
      <c r="S38" s="390">
        <v>170</v>
      </c>
      <c r="T38" s="387">
        <f t="shared" si="2"/>
        <v>578</v>
      </c>
      <c r="U38" s="391"/>
      <c r="V38" s="391"/>
      <c r="W38" s="392">
        <f>T38</f>
        <v>578</v>
      </c>
      <c r="X38" s="392">
        <f>W38</f>
        <v>578</v>
      </c>
      <c r="Y38" s="387">
        <v>578</v>
      </c>
      <c r="Z38" s="387">
        <v>578</v>
      </c>
    </row>
    <row r="39" spans="1:26" s="389" customFormat="1" ht="15.75" hidden="1" customHeight="1" x14ac:dyDescent="0.25">
      <c r="A39" s="384" t="s">
        <v>121</v>
      </c>
      <c r="B39" s="394">
        <v>38</v>
      </c>
      <c r="C39" s="394">
        <v>22</v>
      </c>
      <c r="D39" s="46">
        <f>C39+B39</f>
        <v>60</v>
      </c>
      <c r="E39" s="394">
        <v>61</v>
      </c>
      <c r="F39" s="394"/>
      <c r="G39" s="394">
        <v>38</v>
      </c>
      <c r="H39" s="394">
        <v>22</v>
      </c>
      <c r="I39" s="46">
        <f>H39+G39</f>
        <v>60</v>
      </c>
      <c r="J39" s="46">
        <f>38-3</f>
        <v>35</v>
      </c>
      <c r="K39" s="46">
        <f>62-35-4</f>
        <v>23</v>
      </c>
      <c r="L39" s="46">
        <f>K39+J39</f>
        <v>58</v>
      </c>
      <c r="M39" s="46">
        <v>0.8</v>
      </c>
      <c r="N39" s="385">
        <v>22</v>
      </c>
      <c r="O39" s="385">
        <f>ROUND(K39*M39,0)</f>
        <v>18</v>
      </c>
      <c r="P39" s="385">
        <f>O39+N39</f>
        <v>40</v>
      </c>
      <c r="Q39" s="386">
        <f>25</f>
        <v>25</v>
      </c>
      <c r="R39" s="386">
        <v>10</v>
      </c>
      <c r="S39" s="390">
        <v>170</v>
      </c>
      <c r="T39" s="387">
        <f t="shared" si="2"/>
        <v>124.1</v>
      </c>
      <c r="U39" s="391"/>
      <c r="V39" s="391"/>
      <c r="W39" s="392">
        <f>T39</f>
        <v>124.1</v>
      </c>
      <c r="X39" s="392">
        <f>W39</f>
        <v>124.1</v>
      </c>
      <c r="Y39" s="387">
        <v>124.1</v>
      </c>
      <c r="Z39" s="387">
        <v>124.1</v>
      </c>
    </row>
    <row r="40" spans="1:26" s="389" customFormat="1" ht="15.75" hidden="1" customHeight="1" x14ac:dyDescent="0.25">
      <c r="A40" s="384" t="s">
        <v>122</v>
      </c>
      <c r="B40" s="394">
        <v>86</v>
      </c>
      <c r="C40" s="394">
        <v>85</v>
      </c>
      <c r="D40" s="46">
        <f>C40+B40</f>
        <v>171</v>
      </c>
      <c r="E40" s="394">
        <v>159</v>
      </c>
      <c r="F40" s="394"/>
      <c r="G40" s="394">
        <v>86</v>
      </c>
      <c r="H40" s="394">
        <v>85</v>
      </c>
      <c r="I40" s="46">
        <f>H40+G40</f>
        <v>171</v>
      </c>
      <c r="J40" s="46">
        <f>77-7</f>
        <v>70</v>
      </c>
      <c r="K40" s="46">
        <f>161-70-16</f>
        <v>75</v>
      </c>
      <c r="L40" s="46">
        <f>K40+J40</f>
        <v>145</v>
      </c>
      <c r="M40" s="46">
        <v>0.8</v>
      </c>
      <c r="N40" s="385">
        <v>56</v>
      </c>
      <c r="O40" s="385">
        <f>ROUND(K40*M40,0)</f>
        <v>60</v>
      </c>
      <c r="P40" s="385">
        <f>O40+N40</f>
        <v>116</v>
      </c>
      <c r="Q40" s="386">
        <f>25</f>
        <v>25</v>
      </c>
      <c r="R40" s="386">
        <v>10</v>
      </c>
      <c r="S40" s="390">
        <v>170</v>
      </c>
      <c r="T40" s="387">
        <f t="shared" si="2"/>
        <v>340</v>
      </c>
      <c r="U40" s="391"/>
      <c r="V40" s="391"/>
      <c r="W40" s="392">
        <f>T40</f>
        <v>340</v>
      </c>
      <c r="X40" s="392">
        <f>W40</f>
        <v>340</v>
      </c>
      <c r="Y40" s="387">
        <v>340</v>
      </c>
      <c r="Z40" s="387">
        <v>340</v>
      </c>
    </row>
    <row r="41" spans="1:26" s="389" customFormat="1" ht="15.75" hidden="1" customHeight="1" x14ac:dyDescent="0.25">
      <c r="A41" s="384"/>
      <c r="B41" s="394"/>
      <c r="C41" s="394"/>
      <c r="D41" s="46"/>
      <c r="E41" s="394"/>
      <c r="F41" s="394"/>
      <c r="G41" s="394"/>
      <c r="H41" s="394"/>
      <c r="I41" s="46"/>
      <c r="J41" s="46"/>
      <c r="K41" s="46"/>
      <c r="L41" s="46"/>
      <c r="M41" s="46"/>
      <c r="N41" s="385"/>
      <c r="O41" s="385"/>
      <c r="P41" s="385"/>
      <c r="Q41" s="386"/>
      <c r="R41" s="386"/>
      <c r="S41" s="390"/>
      <c r="T41" s="387">
        <f t="shared" si="2"/>
        <v>0</v>
      </c>
      <c r="U41" s="391"/>
      <c r="V41" s="391"/>
      <c r="W41" s="393"/>
      <c r="X41" s="393"/>
      <c r="Y41" s="387">
        <v>0</v>
      </c>
      <c r="Z41" s="387">
        <v>0</v>
      </c>
    </row>
    <row r="42" spans="1:26" s="389" customFormat="1" ht="15.75" customHeight="1" x14ac:dyDescent="0.25">
      <c r="A42" s="384" t="s">
        <v>62</v>
      </c>
      <c r="B42" s="394">
        <f t="shared" ref="B42:H42" si="15">B43+B44</f>
        <v>222</v>
      </c>
      <c r="C42" s="394">
        <f t="shared" si="15"/>
        <v>281</v>
      </c>
      <c r="D42" s="394">
        <f t="shared" si="15"/>
        <v>503</v>
      </c>
      <c r="E42" s="394">
        <f t="shared" si="15"/>
        <v>480</v>
      </c>
      <c r="F42" s="394">
        <f t="shared" si="15"/>
        <v>0</v>
      </c>
      <c r="G42" s="394">
        <f t="shared" si="15"/>
        <v>222</v>
      </c>
      <c r="H42" s="394">
        <f t="shared" si="15"/>
        <v>281</v>
      </c>
      <c r="I42" s="46">
        <f>H42+G42</f>
        <v>503</v>
      </c>
      <c r="J42" s="46">
        <f>J43+J44</f>
        <v>219</v>
      </c>
      <c r="K42" s="46">
        <f>K43+K44</f>
        <v>280</v>
      </c>
      <c r="L42" s="46">
        <f>K42+J42</f>
        <v>499</v>
      </c>
      <c r="M42" s="46">
        <v>0.8</v>
      </c>
      <c r="N42" s="385">
        <v>175</v>
      </c>
      <c r="O42" s="385">
        <v>165</v>
      </c>
      <c r="P42" s="385">
        <f>P43+P44</f>
        <v>332</v>
      </c>
      <c r="Q42" s="386">
        <v>25</v>
      </c>
      <c r="R42" s="386">
        <v>10</v>
      </c>
      <c r="S42" s="390">
        <v>170</v>
      </c>
      <c r="T42" s="387">
        <f t="shared" si="2"/>
        <v>1024.25</v>
      </c>
      <c r="U42" s="388">
        <f>U43+U44</f>
        <v>0</v>
      </c>
      <c r="V42" s="388">
        <f>V43+V44</f>
        <v>0</v>
      </c>
      <c r="W42" s="388">
        <f>W43+W44</f>
        <v>1005.55</v>
      </c>
      <c r="X42" s="388">
        <f>X43+X44</f>
        <v>1005.55</v>
      </c>
      <c r="Y42" s="387">
        <v>1024.2</v>
      </c>
      <c r="Z42" s="387">
        <v>1024.2</v>
      </c>
    </row>
    <row r="43" spans="1:26" s="389" customFormat="1" ht="15.75" hidden="1" customHeight="1" x14ac:dyDescent="0.25">
      <c r="A43" s="384" t="s">
        <v>123</v>
      </c>
      <c r="B43" s="394">
        <v>171</v>
      </c>
      <c r="C43" s="394">
        <v>224</v>
      </c>
      <c r="D43" s="46">
        <f>C43+B43</f>
        <v>395</v>
      </c>
      <c r="E43" s="394">
        <f>353+15+11</f>
        <v>379</v>
      </c>
      <c r="F43" s="394">
        <v>0</v>
      </c>
      <c r="G43" s="46">
        <v>171</v>
      </c>
      <c r="H43" s="394">
        <v>224</v>
      </c>
      <c r="I43" s="46">
        <f>H43+G43</f>
        <v>395</v>
      </c>
      <c r="J43" s="46">
        <v>168</v>
      </c>
      <c r="K43" s="46">
        <f>181+42</f>
        <v>223</v>
      </c>
      <c r="L43" s="46">
        <f>K43+J43</f>
        <v>391</v>
      </c>
      <c r="M43" s="46">
        <v>0.8</v>
      </c>
      <c r="N43" s="385">
        <v>122</v>
      </c>
      <c r="O43" s="385">
        <v>113</v>
      </c>
      <c r="P43" s="385">
        <f>O43+N43</f>
        <v>235</v>
      </c>
      <c r="Q43" s="386">
        <f>25</f>
        <v>25</v>
      </c>
      <c r="R43" s="386">
        <v>10</v>
      </c>
      <c r="S43" s="390">
        <v>170</v>
      </c>
      <c r="T43" s="387">
        <f t="shared" si="2"/>
        <v>710.6</v>
      </c>
      <c r="U43" s="391"/>
      <c r="V43" s="391"/>
      <c r="W43" s="392">
        <f>T43</f>
        <v>710.6</v>
      </c>
      <c r="X43" s="392">
        <f>W43</f>
        <v>710.6</v>
      </c>
      <c r="Y43" s="387">
        <v>710.6</v>
      </c>
      <c r="Z43" s="387">
        <v>710.6</v>
      </c>
    </row>
    <row r="44" spans="1:26" s="389" customFormat="1" ht="15.75" hidden="1" customHeight="1" x14ac:dyDescent="0.25">
      <c r="A44" s="384" t="s">
        <v>79</v>
      </c>
      <c r="B44" s="394">
        <v>51</v>
      </c>
      <c r="C44" s="394">
        <v>57</v>
      </c>
      <c r="D44" s="46">
        <f>C44+B44</f>
        <v>108</v>
      </c>
      <c r="E44" s="394">
        <f>99+2</f>
        <v>101</v>
      </c>
      <c r="F44" s="394">
        <v>0</v>
      </c>
      <c r="G44" s="46">
        <v>51</v>
      </c>
      <c r="H44" s="394">
        <v>57</v>
      </c>
      <c r="I44" s="46">
        <f>H44+G44</f>
        <v>108</v>
      </c>
      <c r="J44" s="46">
        <v>51</v>
      </c>
      <c r="K44" s="46">
        <v>57</v>
      </c>
      <c r="L44" s="46">
        <f>K44+J44</f>
        <v>108</v>
      </c>
      <c r="M44" s="46">
        <v>0.8</v>
      </c>
      <c r="N44" s="385">
        <f>J44</f>
        <v>51</v>
      </c>
      <c r="O44" s="385">
        <f>ROUND(K44*M44,0)</f>
        <v>46</v>
      </c>
      <c r="P44" s="385">
        <f>O44+N44</f>
        <v>97</v>
      </c>
      <c r="Q44" s="386">
        <f>25</f>
        <v>25</v>
      </c>
      <c r="R44" s="386">
        <v>10</v>
      </c>
      <c r="S44" s="390">
        <v>170</v>
      </c>
      <c r="T44" s="387">
        <f t="shared" si="2"/>
        <v>294.95</v>
      </c>
      <c r="U44" s="391"/>
      <c r="V44" s="391"/>
      <c r="W44" s="392">
        <f>T44</f>
        <v>294.95</v>
      </c>
      <c r="X44" s="392">
        <f>W44</f>
        <v>294.95</v>
      </c>
      <c r="Y44" s="387">
        <v>294.95</v>
      </c>
      <c r="Z44" s="387">
        <v>294.95</v>
      </c>
    </row>
    <row r="45" spans="1:26" s="389" customFormat="1" ht="15.75" hidden="1" customHeight="1" x14ac:dyDescent="0.25">
      <c r="A45" s="384"/>
      <c r="B45" s="394"/>
      <c r="C45" s="394"/>
      <c r="D45" s="46"/>
      <c r="E45" s="394"/>
      <c r="F45" s="394"/>
      <c r="G45" s="46"/>
      <c r="H45" s="394"/>
      <c r="I45" s="46"/>
      <c r="J45" s="46"/>
      <c r="K45" s="46"/>
      <c r="L45" s="46"/>
      <c r="M45" s="46"/>
      <c r="N45" s="385"/>
      <c r="O45" s="385"/>
      <c r="P45" s="385"/>
      <c r="Q45" s="386"/>
      <c r="R45" s="386"/>
      <c r="S45" s="390"/>
      <c r="T45" s="387">
        <f t="shared" si="2"/>
        <v>0</v>
      </c>
      <c r="U45" s="391"/>
      <c r="V45" s="391"/>
      <c r="W45" s="393"/>
      <c r="X45" s="393"/>
      <c r="Y45" s="387">
        <v>0</v>
      </c>
      <c r="Z45" s="387">
        <v>0</v>
      </c>
    </row>
    <row r="46" spans="1:26" s="389" customFormat="1" ht="15.75" customHeight="1" x14ac:dyDescent="0.25">
      <c r="A46" s="384" t="s">
        <v>63</v>
      </c>
      <c r="B46" s="394">
        <v>342</v>
      </c>
      <c r="C46" s="394">
        <v>482</v>
      </c>
      <c r="D46" s="394">
        <f t="shared" ref="D46:D52" si="16">C46+B46</f>
        <v>824</v>
      </c>
      <c r="E46" s="394">
        <f>SUM(E47:E52)</f>
        <v>798</v>
      </c>
      <c r="F46" s="394">
        <f>SUM(F47:F52)</f>
        <v>798</v>
      </c>
      <c r="G46" s="46">
        <v>342</v>
      </c>
      <c r="H46" s="394">
        <v>464</v>
      </c>
      <c r="I46" s="46">
        <f>H46+G46</f>
        <v>806</v>
      </c>
      <c r="J46" s="394">
        <f>SUM(J47:J52)</f>
        <v>327</v>
      </c>
      <c r="K46" s="394">
        <f>SUM(K47:K52)</f>
        <v>498</v>
      </c>
      <c r="L46" s="394">
        <f>SUM(L47:L52)</f>
        <v>825</v>
      </c>
      <c r="M46" s="46">
        <v>0.8</v>
      </c>
      <c r="N46" s="385">
        <v>230</v>
      </c>
      <c r="O46" s="385">
        <v>360</v>
      </c>
      <c r="P46" s="385">
        <f>P47+P48+P49+P50+P51+P52</f>
        <v>588</v>
      </c>
      <c r="Q46" s="386">
        <v>25</v>
      </c>
      <c r="R46" s="386">
        <v>10</v>
      </c>
      <c r="S46" s="390">
        <v>170</v>
      </c>
      <c r="T46" s="387">
        <f t="shared" si="2"/>
        <v>1589.5</v>
      </c>
      <c r="U46" s="388">
        <f>SUM(U47:U52)</f>
        <v>0</v>
      </c>
      <c r="V46" s="388">
        <f>SUM(V47:V52)</f>
        <v>0</v>
      </c>
      <c r="W46" s="388">
        <f>SUM(W47:W52)</f>
        <v>1588.65</v>
      </c>
      <c r="X46" s="388">
        <f>SUM(X47:X52)</f>
        <v>1588.65</v>
      </c>
      <c r="Y46" s="387">
        <v>1589.5</v>
      </c>
      <c r="Z46" s="387">
        <v>1589.5</v>
      </c>
    </row>
    <row r="47" spans="1:26" s="389" customFormat="1" ht="15.75" hidden="1" customHeight="1" x14ac:dyDescent="0.25">
      <c r="A47" s="384" t="s">
        <v>124</v>
      </c>
      <c r="B47" s="394"/>
      <c r="C47" s="394"/>
      <c r="D47" s="46">
        <f t="shared" si="16"/>
        <v>0</v>
      </c>
      <c r="E47" s="394">
        <f>275+13</f>
        <v>288</v>
      </c>
      <c r="F47" s="394">
        <v>288</v>
      </c>
      <c r="G47" s="46"/>
      <c r="H47" s="394"/>
      <c r="I47" s="46"/>
      <c r="J47" s="394">
        <v>117</v>
      </c>
      <c r="K47" s="394">
        <v>183</v>
      </c>
      <c r="L47" s="46">
        <f t="shared" ref="L47:L52" si="17">K47+J47</f>
        <v>300</v>
      </c>
      <c r="M47" s="46">
        <v>0.8</v>
      </c>
      <c r="N47" s="385">
        <v>89</v>
      </c>
      <c r="O47" s="385">
        <v>122</v>
      </c>
      <c r="P47" s="385">
        <f t="shared" ref="P47:P52" si="18">O47+N47</f>
        <v>211</v>
      </c>
      <c r="Q47" s="386">
        <f>25</f>
        <v>25</v>
      </c>
      <c r="R47" s="386">
        <v>10</v>
      </c>
      <c r="S47" s="390">
        <v>170</v>
      </c>
      <c r="T47" s="387">
        <f t="shared" si="2"/>
        <v>585.65</v>
      </c>
      <c r="U47" s="391"/>
      <c r="V47" s="391"/>
      <c r="W47" s="392">
        <f t="shared" ref="W47:W53" si="19">T47</f>
        <v>585.65</v>
      </c>
      <c r="X47" s="392">
        <f t="shared" ref="X47:X60" si="20">W47</f>
        <v>585.65</v>
      </c>
      <c r="Y47" s="387">
        <v>585.65</v>
      </c>
      <c r="Z47" s="387">
        <v>585.65</v>
      </c>
    </row>
    <row r="48" spans="1:26" s="389" customFormat="1" ht="15.75" hidden="1" customHeight="1" x14ac:dyDescent="0.25">
      <c r="A48" s="384" t="s">
        <v>125</v>
      </c>
      <c r="B48" s="394"/>
      <c r="C48" s="394"/>
      <c r="D48" s="46">
        <f t="shared" si="16"/>
        <v>0</v>
      </c>
      <c r="E48" s="394">
        <f>240+6</f>
        <v>246</v>
      </c>
      <c r="F48" s="394">
        <v>246</v>
      </c>
      <c r="G48" s="46"/>
      <c r="H48" s="394"/>
      <c r="I48" s="46"/>
      <c r="J48" s="46">
        <v>98</v>
      </c>
      <c r="K48" s="46">
        <v>157</v>
      </c>
      <c r="L48" s="46">
        <f t="shared" si="17"/>
        <v>255</v>
      </c>
      <c r="M48" s="46">
        <v>0.8</v>
      </c>
      <c r="N48" s="385">
        <v>63</v>
      </c>
      <c r="O48" s="385">
        <f>ROUND(K48*M48,0)</f>
        <v>126</v>
      </c>
      <c r="P48" s="385">
        <f t="shared" si="18"/>
        <v>189</v>
      </c>
      <c r="Q48" s="386">
        <f>25</f>
        <v>25</v>
      </c>
      <c r="R48" s="386">
        <v>10</v>
      </c>
      <c r="S48" s="390">
        <v>170</v>
      </c>
      <c r="T48" s="387">
        <f t="shared" si="2"/>
        <v>481.95</v>
      </c>
      <c r="U48" s="391"/>
      <c r="V48" s="391"/>
      <c r="W48" s="392">
        <f t="shared" si="19"/>
        <v>481.95</v>
      </c>
      <c r="X48" s="392">
        <f t="shared" si="20"/>
        <v>481.95</v>
      </c>
      <c r="Y48" s="387">
        <v>481.95</v>
      </c>
      <c r="Z48" s="387">
        <v>481.95</v>
      </c>
    </row>
    <row r="49" spans="1:26" s="389" customFormat="1" ht="15.75" hidden="1" customHeight="1" x14ac:dyDescent="0.25">
      <c r="A49" s="384" t="s">
        <v>126</v>
      </c>
      <c r="B49" s="394"/>
      <c r="C49" s="394"/>
      <c r="D49" s="46">
        <f t="shared" si="16"/>
        <v>0</v>
      </c>
      <c r="E49" s="394">
        <f>202+7</f>
        <v>209</v>
      </c>
      <c r="F49" s="394">
        <v>209</v>
      </c>
      <c r="G49" s="46"/>
      <c r="H49" s="394"/>
      <c r="I49" s="46"/>
      <c r="J49" s="46">
        <v>86</v>
      </c>
      <c r="K49" s="46">
        <v>130</v>
      </c>
      <c r="L49" s="46">
        <f t="shared" si="17"/>
        <v>216</v>
      </c>
      <c r="M49" s="46">
        <v>0.8</v>
      </c>
      <c r="N49" s="385">
        <v>52</v>
      </c>
      <c r="O49" s="385">
        <v>87</v>
      </c>
      <c r="P49" s="385">
        <f t="shared" si="18"/>
        <v>139</v>
      </c>
      <c r="Q49" s="386">
        <f>25</f>
        <v>25</v>
      </c>
      <c r="R49" s="386">
        <v>10</v>
      </c>
      <c r="S49" s="390">
        <v>170</v>
      </c>
      <c r="T49" s="387">
        <f t="shared" si="2"/>
        <v>368.9</v>
      </c>
      <c r="U49" s="391"/>
      <c r="V49" s="391"/>
      <c r="W49" s="392">
        <f t="shared" si="19"/>
        <v>368.9</v>
      </c>
      <c r="X49" s="392">
        <f t="shared" si="20"/>
        <v>368.9</v>
      </c>
      <c r="Y49" s="387">
        <v>368.9</v>
      </c>
      <c r="Z49" s="387">
        <v>368.9</v>
      </c>
    </row>
    <row r="50" spans="1:26" s="389" customFormat="1" ht="15.75" hidden="1" customHeight="1" x14ac:dyDescent="0.25">
      <c r="A50" s="384" t="s">
        <v>80</v>
      </c>
      <c r="B50" s="394"/>
      <c r="C50" s="394"/>
      <c r="D50" s="46">
        <f t="shared" si="16"/>
        <v>0</v>
      </c>
      <c r="E50" s="394">
        <v>42</v>
      </c>
      <c r="F50" s="394">
        <v>42</v>
      </c>
      <c r="G50" s="46"/>
      <c r="H50" s="394"/>
      <c r="I50" s="46"/>
      <c r="J50" s="46">
        <v>18</v>
      </c>
      <c r="K50" s="46">
        <v>25</v>
      </c>
      <c r="L50" s="46">
        <f t="shared" si="17"/>
        <v>43</v>
      </c>
      <c r="M50" s="46">
        <v>0.8</v>
      </c>
      <c r="N50" s="385">
        <f>J50</f>
        <v>18</v>
      </c>
      <c r="O50" s="385">
        <f>ROUND(K50*M50,0)</f>
        <v>20</v>
      </c>
      <c r="P50" s="385">
        <f t="shared" si="18"/>
        <v>38</v>
      </c>
      <c r="Q50" s="386">
        <f>25</f>
        <v>25</v>
      </c>
      <c r="R50" s="386">
        <v>10</v>
      </c>
      <c r="S50" s="390">
        <v>170</v>
      </c>
      <c r="T50" s="387">
        <f t="shared" si="2"/>
        <v>110.5</v>
      </c>
      <c r="U50" s="391"/>
      <c r="V50" s="391"/>
      <c r="W50" s="392">
        <f t="shared" si="19"/>
        <v>110.5</v>
      </c>
      <c r="X50" s="392">
        <f t="shared" si="20"/>
        <v>110.5</v>
      </c>
      <c r="Y50" s="387">
        <v>110.5</v>
      </c>
      <c r="Z50" s="387">
        <v>110.5</v>
      </c>
    </row>
    <row r="51" spans="1:26" s="389" customFormat="1" ht="15.75" hidden="1" customHeight="1" x14ac:dyDescent="0.25">
      <c r="A51" s="384" t="s">
        <v>411</v>
      </c>
      <c r="B51" s="394"/>
      <c r="C51" s="394"/>
      <c r="D51" s="46">
        <f t="shared" si="16"/>
        <v>0</v>
      </c>
      <c r="E51" s="394">
        <v>11</v>
      </c>
      <c r="F51" s="394">
        <v>11</v>
      </c>
      <c r="G51" s="46"/>
      <c r="H51" s="394"/>
      <c r="I51" s="46"/>
      <c r="J51" s="46">
        <v>5</v>
      </c>
      <c r="K51" s="46">
        <v>3</v>
      </c>
      <c r="L51" s="46">
        <f t="shared" si="17"/>
        <v>8</v>
      </c>
      <c r="M51" s="46">
        <v>0.8</v>
      </c>
      <c r="N51" s="385">
        <v>6</v>
      </c>
      <c r="O51" s="385">
        <v>2</v>
      </c>
      <c r="P51" s="385">
        <f t="shared" si="18"/>
        <v>8</v>
      </c>
      <c r="Q51" s="386">
        <f>25</f>
        <v>25</v>
      </c>
      <c r="R51" s="386">
        <v>10</v>
      </c>
      <c r="S51" s="390">
        <v>170</v>
      </c>
      <c r="T51" s="387">
        <f t="shared" si="2"/>
        <v>28.9</v>
      </c>
      <c r="U51" s="391"/>
      <c r="V51" s="391"/>
      <c r="W51" s="392">
        <f t="shared" si="19"/>
        <v>28.9</v>
      </c>
      <c r="X51" s="392">
        <f t="shared" si="20"/>
        <v>28.9</v>
      </c>
      <c r="Y51" s="387">
        <v>28.9</v>
      </c>
      <c r="Z51" s="387">
        <v>28.9</v>
      </c>
    </row>
    <row r="52" spans="1:26" s="389" customFormat="1" ht="15.75" hidden="1" customHeight="1" x14ac:dyDescent="0.25">
      <c r="A52" s="384" t="s">
        <v>412</v>
      </c>
      <c r="B52" s="394"/>
      <c r="C52" s="394"/>
      <c r="D52" s="46">
        <f t="shared" si="16"/>
        <v>0</v>
      </c>
      <c r="E52" s="394">
        <v>2</v>
      </c>
      <c r="F52" s="394">
        <v>2</v>
      </c>
      <c r="G52" s="46"/>
      <c r="H52" s="394"/>
      <c r="I52" s="46"/>
      <c r="J52" s="46">
        <v>3</v>
      </c>
      <c r="K52" s="46">
        <v>0</v>
      </c>
      <c r="L52" s="46">
        <f t="shared" si="17"/>
        <v>3</v>
      </c>
      <c r="M52" s="46">
        <v>0.8</v>
      </c>
      <c r="N52" s="385">
        <f>J52</f>
        <v>3</v>
      </c>
      <c r="O52" s="385">
        <f>ROUND(K52*M52,0)</f>
        <v>0</v>
      </c>
      <c r="P52" s="385">
        <f t="shared" si="18"/>
        <v>3</v>
      </c>
      <c r="Q52" s="386">
        <f>25</f>
        <v>25</v>
      </c>
      <c r="R52" s="386">
        <v>10</v>
      </c>
      <c r="S52" s="390">
        <v>170</v>
      </c>
      <c r="T52" s="387">
        <f t="shared" si="2"/>
        <v>12.75</v>
      </c>
      <c r="U52" s="391"/>
      <c r="V52" s="391"/>
      <c r="W52" s="392">
        <f t="shared" si="19"/>
        <v>12.75</v>
      </c>
      <c r="X52" s="392">
        <f t="shared" si="20"/>
        <v>12.75</v>
      </c>
      <c r="Y52" s="387">
        <v>12.75</v>
      </c>
      <c r="Z52" s="387">
        <v>12.75</v>
      </c>
    </row>
    <row r="53" spans="1:26" s="389" customFormat="1" ht="15.75" hidden="1" customHeight="1" x14ac:dyDescent="0.25">
      <c r="A53" s="384"/>
      <c r="B53" s="394"/>
      <c r="C53" s="394"/>
      <c r="D53" s="46"/>
      <c r="E53" s="394"/>
      <c r="F53" s="394"/>
      <c r="G53" s="46"/>
      <c r="H53" s="394"/>
      <c r="I53" s="46"/>
      <c r="J53" s="46"/>
      <c r="K53" s="46"/>
      <c r="L53" s="46"/>
      <c r="M53" s="46"/>
      <c r="N53" s="385"/>
      <c r="O53" s="385"/>
      <c r="P53" s="385"/>
      <c r="Q53" s="386"/>
      <c r="R53" s="386"/>
      <c r="S53" s="390"/>
      <c r="T53" s="387">
        <f t="shared" si="2"/>
        <v>0</v>
      </c>
      <c r="U53" s="391"/>
      <c r="V53" s="391"/>
      <c r="W53" s="392">
        <f t="shared" si="19"/>
        <v>0</v>
      </c>
      <c r="X53" s="392">
        <f t="shared" si="20"/>
        <v>0</v>
      </c>
      <c r="Y53" s="387">
        <v>0</v>
      </c>
      <c r="Z53" s="387">
        <v>0</v>
      </c>
    </row>
    <row r="54" spans="1:26" s="389" customFormat="1" ht="15.75" customHeight="1" x14ac:dyDescent="0.25">
      <c r="A54" s="384" t="s">
        <v>64</v>
      </c>
      <c r="B54" s="394">
        <f>SUM(B55:B60)</f>
        <v>0</v>
      </c>
      <c r="C54" s="394">
        <f>SUM(C55:C60)</f>
        <v>0</v>
      </c>
      <c r="D54" s="394">
        <f>SUM(D55:D60)</f>
        <v>0</v>
      </c>
      <c r="E54" s="394">
        <f>SUM(E55:E60)</f>
        <v>1044</v>
      </c>
      <c r="F54" s="394">
        <v>1075</v>
      </c>
      <c r="G54" s="46"/>
      <c r="H54" s="394"/>
      <c r="I54" s="46"/>
      <c r="J54" s="394">
        <f>SUM(J55:J60)</f>
        <v>426</v>
      </c>
      <c r="K54" s="394">
        <f>SUM(K55:K60)</f>
        <v>634</v>
      </c>
      <c r="L54" s="394">
        <f>SUM(L55:L60)</f>
        <v>1060</v>
      </c>
      <c r="M54" s="46">
        <v>0.8</v>
      </c>
      <c r="N54" s="385">
        <f>SUM(N55:N60)</f>
        <v>265</v>
      </c>
      <c r="O54" s="385">
        <v>290</v>
      </c>
      <c r="P54" s="385">
        <f>SUM(P55:P60)</f>
        <v>553</v>
      </c>
      <c r="Q54" s="386">
        <v>25</v>
      </c>
      <c r="R54" s="386">
        <v>10</v>
      </c>
      <c r="S54" s="390">
        <v>170</v>
      </c>
      <c r="T54" s="387">
        <f t="shared" si="2"/>
        <v>1619.25</v>
      </c>
      <c r="U54" s="388">
        <f>SUM(U55:U60)</f>
        <v>0</v>
      </c>
      <c r="V54" s="388">
        <f>SUM(V55:V60)</f>
        <v>0</v>
      </c>
      <c r="W54" s="388">
        <f>SUM(W55:W60)</f>
        <v>1615.85</v>
      </c>
      <c r="X54" s="388">
        <f>SUM(X55:X60)</f>
        <v>1615.85</v>
      </c>
      <c r="Y54" s="387">
        <v>1619.3</v>
      </c>
      <c r="Z54" s="387">
        <v>1619.25</v>
      </c>
    </row>
    <row r="55" spans="1:26" s="389" customFormat="1" ht="15.75" hidden="1" customHeight="1" x14ac:dyDescent="0.25">
      <c r="A55" s="384" t="s">
        <v>127</v>
      </c>
      <c r="B55" s="394"/>
      <c r="C55" s="394"/>
      <c r="D55" s="46"/>
      <c r="E55" s="394">
        <f>321+8</f>
        <v>329</v>
      </c>
      <c r="F55" s="394"/>
      <c r="G55" s="46"/>
      <c r="H55" s="394"/>
      <c r="I55" s="46">
        <f t="shared" ref="I55:I60" si="21">H55+G55</f>
        <v>0</v>
      </c>
      <c r="J55" s="46">
        <v>0</v>
      </c>
      <c r="K55" s="46">
        <v>336</v>
      </c>
      <c r="L55" s="46">
        <f t="shared" ref="L55:L60" si="22">K55+J55</f>
        <v>336</v>
      </c>
      <c r="M55" s="46">
        <v>0.8</v>
      </c>
      <c r="N55" s="385">
        <f>J55</f>
        <v>0</v>
      </c>
      <c r="O55" s="385">
        <v>132</v>
      </c>
      <c r="P55" s="385">
        <f t="shared" ref="P55:P60" si="23">O55+N55</f>
        <v>132</v>
      </c>
      <c r="Q55" s="386">
        <f>25</f>
        <v>25</v>
      </c>
      <c r="R55" s="386">
        <v>10</v>
      </c>
      <c r="S55" s="395">
        <v>170</v>
      </c>
      <c r="T55" s="387">
        <f t="shared" ref="T55:T60" si="24">(Q55*N55+R55*O55)*S55/1000</f>
        <v>224.4</v>
      </c>
      <c r="U55" s="391"/>
      <c r="V55" s="391"/>
      <c r="W55" s="392">
        <f t="shared" ref="W55:W60" si="25">T55</f>
        <v>224.4</v>
      </c>
      <c r="X55" s="392">
        <f t="shared" si="20"/>
        <v>224.4</v>
      </c>
      <c r="Y55" s="387">
        <v>224.4</v>
      </c>
      <c r="Z55" s="387">
        <v>224.4</v>
      </c>
    </row>
    <row r="56" spans="1:26" s="389" customFormat="1" ht="15.75" hidden="1" customHeight="1" x14ac:dyDescent="0.25">
      <c r="A56" s="384" t="s">
        <v>128</v>
      </c>
      <c r="B56" s="394"/>
      <c r="C56" s="394"/>
      <c r="D56" s="46"/>
      <c r="E56" s="394">
        <v>199</v>
      </c>
      <c r="F56" s="394"/>
      <c r="G56" s="46"/>
      <c r="H56" s="394"/>
      <c r="I56" s="46">
        <f t="shared" si="21"/>
        <v>0</v>
      </c>
      <c r="J56" s="46">
        <v>194</v>
      </c>
      <c r="K56" s="46">
        <v>0</v>
      </c>
      <c r="L56" s="46">
        <f t="shared" si="22"/>
        <v>194</v>
      </c>
      <c r="M56" s="46">
        <v>0.8</v>
      </c>
      <c r="N56" s="385">
        <v>105</v>
      </c>
      <c r="O56" s="385">
        <f>ROUND(K56*M56,0)</f>
        <v>0</v>
      </c>
      <c r="P56" s="385">
        <f t="shared" si="23"/>
        <v>105</v>
      </c>
      <c r="Q56" s="386">
        <f>25</f>
        <v>25</v>
      </c>
      <c r="R56" s="386">
        <v>10</v>
      </c>
      <c r="S56" s="395">
        <v>170</v>
      </c>
      <c r="T56" s="387">
        <f t="shared" si="24"/>
        <v>446.25</v>
      </c>
      <c r="U56" s="391"/>
      <c r="V56" s="391"/>
      <c r="W56" s="392">
        <f t="shared" si="25"/>
        <v>446.25</v>
      </c>
      <c r="X56" s="392">
        <f t="shared" si="20"/>
        <v>446.25</v>
      </c>
      <c r="Y56" s="387">
        <v>446.25</v>
      </c>
      <c r="Z56" s="387">
        <v>446.25</v>
      </c>
    </row>
    <row r="57" spans="1:26" s="389" customFormat="1" ht="15.75" hidden="1" customHeight="1" x14ac:dyDescent="0.25">
      <c r="A57" s="384" t="s">
        <v>129</v>
      </c>
      <c r="B57" s="394"/>
      <c r="C57" s="394"/>
      <c r="D57" s="46"/>
      <c r="E57" s="394">
        <f>270</f>
        <v>270</v>
      </c>
      <c r="F57" s="394"/>
      <c r="G57" s="46"/>
      <c r="H57" s="394"/>
      <c r="I57" s="46">
        <f t="shared" si="21"/>
        <v>0</v>
      </c>
      <c r="J57" s="46">
        <v>120</v>
      </c>
      <c r="K57" s="46">
        <v>155</v>
      </c>
      <c r="L57" s="46">
        <f t="shared" si="22"/>
        <v>275</v>
      </c>
      <c r="M57" s="46">
        <v>0.8</v>
      </c>
      <c r="N57" s="385">
        <v>68</v>
      </c>
      <c r="O57" s="385">
        <v>77</v>
      </c>
      <c r="P57" s="385">
        <f t="shared" si="23"/>
        <v>145</v>
      </c>
      <c r="Q57" s="386">
        <f>25</f>
        <v>25</v>
      </c>
      <c r="R57" s="386">
        <v>10</v>
      </c>
      <c r="S57" s="395">
        <v>170</v>
      </c>
      <c r="T57" s="387">
        <f t="shared" si="24"/>
        <v>419.9</v>
      </c>
      <c r="U57" s="391"/>
      <c r="V57" s="391"/>
      <c r="W57" s="392">
        <f t="shared" si="25"/>
        <v>419.9</v>
      </c>
      <c r="X57" s="392">
        <f t="shared" si="20"/>
        <v>419.9</v>
      </c>
      <c r="Y57" s="387">
        <v>419.9</v>
      </c>
      <c r="Z57" s="387">
        <v>419.9</v>
      </c>
    </row>
    <row r="58" spans="1:26" s="389" customFormat="1" ht="15.75" hidden="1" customHeight="1" x14ac:dyDescent="0.25">
      <c r="A58" s="384" t="s">
        <v>130</v>
      </c>
      <c r="B58" s="394"/>
      <c r="C58" s="394"/>
      <c r="D58" s="46"/>
      <c r="E58" s="394">
        <f>174+7</f>
        <v>181</v>
      </c>
      <c r="F58" s="394"/>
      <c r="G58" s="46"/>
      <c r="H58" s="394"/>
      <c r="I58" s="46">
        <f t="shared" si="21"/>
        <v>0</v>
      </c>
      <c r="J58" s="46">
        <v>70</v>
      </c>
      <c r="K58" s="46">
        <v>116</v>
      </c>
      <c r="L58" s="46">
        <f t="shared" si="22"/>
        <v>186</v>
      </c>
      <c r="M58" s="46">
        <v>0.8</v>
      </c>
      <c r="N58" s="385">
        <v>53</v>
      </c>
      <c r="O58" s="385">
        <v>64</v>
      </c>
      <c r="P58" s="385">
        <f t="shared" si="23"/>
        <v>117</v>
      </c>
      <c r="Q58" s="386">
        <f>25</f>
        <v>25</v>
      </c>
      <c r="R58" s="386">
        <v>10</v>
      </c>
      <c r="S58" s="395">
        <v>170</v>
      </c>
      <c r="T58" s="387">
        <f t="shared" si="24"/>
        <v>334.05</v>
      </c>
      <c r="U58" s="391"/>
      <c r="V58" s="391"/>
      <c r="W58" s="392">
        <f t="shared" si="25"/>
        <v>334.05</v>
      </c>
      <c r="X58" s="392">
        <f t="shared" si="20"/>
        <v>334.05</v>
      </c>
      <c r="Y58" s="387">
        <v>334.05</v>
      </c>
      <c r="Z58" s="387">
        <v>334.05</v>
      </c>
    </row>
    <row r="59" spans="1:26" s="389" customFormat="1" ht="15.75" hidden="1" customHeight="1" x14ac:dyDescent="0.25">
      <c r="A59" s="384" t="s">
        <v>81</v>
      </c>
      <c r="B59" s="394"/>
      <c r="C59" s="394"/>
      <c r="D59" s="46"/>
      <c r="E59" s="394">
        <v>61</v>
      </c>
      <c r="F59" s="394"/>
      <c r="G59" s="46"/>
      <c r="H59" s="394"/>
      <c r="I59" s="46">
        <f t="shared" si="21"/>
        <v>0</v>
      </c>
      <c r="J59" s="46">
        <v>38</v>
      </c>
      <c r="K59" s="46">
        <v>27</v>
      </c>
      <c r="L59" s="46">
        <f t="shared" si="22"/>
        <v>65</v>
      </c>
      <c r="M59" s="46">
        <v>0.8</v>
      </c>
      <c r="N59" s="385">
        <v>35</v>
      </c>
      <c r="O59" s="385">
        <v>15</v>
      </c>
      <c r="P59" s="385">
        <f t="shared" si="23"/>
        <v>50</v>
      </c>
      <c r="Q59" s="386">
        <f>25</f>
        <v>25</v>
      </c>
      <c r="R59" s="386">
        <v>10</v>
      </c>
      <c r="S59" s="395">
        <v>170</v>
      </c>
      <c r="T59" s="387">
        <f t="shared" si="24"/>
        <v>174.25</v>
      </c>
      <c r="U59" s="391"/>
      <c r="V59" s="391"/>
      <c r="W59" s="392">
        <f t="shared" si="25"/>
        <v>174.25</v>
      </c>
      <c r="X59" s="392">
        <f t="shared" si="20"/>
        <v>174.25</v>
      </c>
      <c r="Y59" s="387">
        <v>174.25</v>
      </c>
      <c r="Z59" s="387">
        <v>174.25</v>
      </c>
    </row>
    <row r="60" spans="1:26" s="389" customFormat="1" ht="15.75" hidden="1" customHeight="1" x14ac:dyDescent="0.25">
      <c r="A60" s="384" t="s">
        <v>413</v>
      </c>
      <c r="B60" s="394"/>
      <c r="C60" s="394"/>
      <c r="D60" s="46"/>
      <c r="E60" s="394">
        <v>4</v>
      </c>
      <c r="F60" s="394"/>
      <c r="G60" s="46"/>
      <c r="H60" s="394"/>
      <c r="I60" s="46">
        <f t="shared" si="21"/>
        <v>0</v>
      </c>
      <c r="J60" s="46">
        <v>4</v>
      </c>
      <c r="K60" s="46">
        <v>0</v>
      </c>
      <c r="L60" s="46">
        <f t="shared" si="22"/>
        <v>4</v>
      </c>
      <c r="M60" s="46">
        <v>0.8</v>
      </c>
      <c r="N60" s="385">
        <f>J60</f>
        <v>4</v>
      </c>
      <c r="O60" s="385">
        <f>ROUND(K60*M60,0)</f>
        <v>0</v>
      </c>
      <c r="P60" s="385">
        <f t="shared" si="23"/>
        <v>4</v>
      </c>
      <c r="Q60" s="386">
        <f>25</f>
        <v>25</v>
      </c>
      <c r="R60" s="386">
        <v>10</v>
      </c>
      <c r="S60" s="395">
        <v>170</v>
      </c>
      <c r="T60" s="387">
        <f t="shared" si="24"/>
        <v>17</v>
      </c>
      <c r="U60" s="391"/>
      <c r="V60" s="391"/>
      <c r="W60" s="392">
        <f t="shared" si="25"/>
        <v>17</v>
      </c>
      <c r="X60" s="392">
        <f t="shared" si="20"/>
        <v>17</v>
      </c>
      <c r="Y60" s="387">
        <v>17</v>
      </c>
      <c r="Z60" s="387">
        <v>17</v>
      </c>
    </row>
    <row r="61" spans="1:26" s="389" customFormat="1" ht="15.75" hidden="1" customHeight="1" x14ac:dyDescent="0.25">
      <c r="A61" s="396"/>
      <c r="B61" s="394"/>
      <c r="C61" s="394"/>
      <c r="D61" s="46"/>
      <c r="E61" s="394"/>
      <c r="F61" s="394"/>
      <c r="G61" s="394"/>
      <c r="H61" s="394"/>
      <c r="I61" s="46"/>
      <c r="J61" s="46"/>
      <c r="K61" s="46"/>
      <c r="L61" s="46"/>
      <c r="M61" s="46"/>
      <c r="N61" s="385"/>
      <c r="O61" s="385"/>
      <c r="P61" s="385"/>
      <c r="Q61" s="397"/>
      <c r="R61" s="397"/>
      <c r="S61" s="397"/>
      <c r="T61" s="387"/>
      <c r="U61" s="391"/>
      <c r="V61" s="391"/>
      <c r="W61" s="393"/>
      <c r="X61" s="393"/>
      <c r="Y61" s="387"/>
      <c r="Z61" s="387"/>
    </row>
    <row r="62" spans="1:26" s="400" customFormat="1" ht="21" customHeight="1" x14ac:dyDescent="0.25">
      <c r="A62" s="70" t="s">
        <v>7</v>
      </c>
      <c r="B62" s="398"/>
      <c r="C62" s="398"/>
      <c r="D62" s="398"/>
      <c r="E62" s="398" t="e">
        <f>E54+E46+E42+E35+E31+E24+E19+E8+E7</f>
        <v>#REF!</v>
      </c>
      <c r="F62" s="398"/>
      <c r="G62" s="398" t="e">
        <f t="shared" ref="G62:L62" si="26">G54+G46+G42+G35+G31+G24+G19+G8+G7</f>
        <v>#REF!</v>
      </c>
      <c r="H62" s="398" t="e">
        <f t="shared" si="26"/>
        <v>#REF!</v>
      </c>
      <c r="I62" s="398" t="e">
        <f t="shared" si="26"/>
        <v>#REF!</v>
      </c>
      <c r="J62" s="398" t="e">
        <f t="shared" si="26"/>
        <v>#REF!</v>
      </c>
      <c r="K62" s="398" t="e">
        <f t="shared" si="26"/>
        <v>#REF!</v>
      </c>
      <c r="L62" s="398" t="e">
        <f t="shared" si="26"/>
        <v>#REF!</v>
      </c>
      <c r="M62" s="398"/>
      <c r="N62" s="71">
        <f>N54+N46+N42+N35+N31+N24+N19+N8+N7</f>
        <v>5067</v>
      </c>
      <c r="O62" s="71">
        <f>O54+O46+O42+O35+O31+O24+O19+O8+O7</f>
        <v>5370</v>
      </c>
      <c r="P62" s="71">
        <f>P54+P46+P42+P35+P31+P24+P19+P8+P7</f>
        <v>9952</v>
      </c>
      <c r="Q62" s="399"/>
      <c r="R62" s="399"/>
      <c r="S62" s="399"/>
      <c r="T62" s="72">
        <f>T7+T8+T19+T24+T31+T35+T42+T46+T54+0.1</f>
        <v>30665.85</v>
      </c>
      <c r="U62" s="391" t="e">
        <f>U54+U46+U42+U35+U31+U24+U19+U8+U7</f>
        <v>#REF!</v>
      </c>
      <c r="V62" s="391" t="e">
        <f>V54+V46+V42+V35+V31+V24+V19+V8+V7</f>
        <v>#REF!</v>
      </c>
      <c r="W62" s="391" t="e">
        <f>W54+W46+W42+W35+W31+W24+W19+W8+W7</f>
        <v>#REF!</v>
      </c>
      <c r="X62" s="391" t="e">
        <f>X54+X46+X42+X35+X31+X24+X19+X8+X7</f>
        <v>#REF!</v>
      </c>
      <c r="Y62" s="72">
        <v>30665.900000000012</v>
      </c>
      <c r="Z62" s="72">
        <v>30665.900000000012</v>
      </c>
    </row>
    <row r="63" spans="1:26" s="389" customFormat="1" x14ac:dyDescent="0.25">
      <c r="A63" s="401"/>
    </row>
    <row r="64" spans="1:26" s="389" customFormat="1" x14ac:dyDescent="0.25">
      <c r="A64" s="402" t="s">
        <v>185</v>
      </c>
    </row>
    <row r="65" spans="1:1" s="389" customFormat="1" x14ac:dyDescent="0.25">
      <c r="A65" s="401"/>
    </row>
  </sheetData>
  <mergeCells count="18">
    <mergeCell ref="A1:Z1"/>
    <mergeCell ref="A2:Z2"/>
    <mergeCell ref="A3:T3"/>
    <mergeCell ref="E5:E6"/>
    <mergeCell ref="G5:I5"/>
    <mergeCell ref="J5:L5"/>
    <mergeCell ref="N5:P5"/>
    <mergeCell ref="Q5:R5"/>
    <mergeCell ref="S5:S6"/>
    <mergeCell ref="Y5:Y6"/>
    <mergeCell ref="Z5:Z6"/>
    <mergeCell ref="T5:T6"/>
    <mergeCell ref="U5:U6"/>
    <mergeCell ref="V5:V6"/>
    <mergeCell ref="W5:W6"/>
    <mergeCell ref="X5:X6"/>
    <mergeCell ref="A5:A6"/>
    <mergeCell ref="B5:D5"/>
  </mergeCells>
  <printOptions horizontalCentered="1"/>
  <pageMargins left="0.23622047244094491" right="0.19685039370078741" top="0.43307086614173229" bottom="0.27559055118110237" header="0.31496062992125984" footer="0.31496062992125984"/>
  <pageSetup paperSize="9" scale="85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  <pageSetUpPr fitToPage="1"/>
  </sheetPr>
  <dimension ref="A1:K17"/>
  <sheetViews>
    <sheetView workbookViewId="0">
      <selection activeCell="L20" sqref="L20"/>
    </sheetView>
  </sheetViews>
  <sheetFormatPr defaultRowHeight="15.75" x14ac:dyDescent="0.25"/>
  <cols>
    <col min="1" max="1" width="36.28515625" style="73" customWidth="1"/>
    <col min="2" max="2" width="21.28515625" style="73" customWidth="1"/>
    <col min="3" max="3" width="17.42578125" style="73" customWidth="1"/>
    <col min="4" max="4" width="15.42578125" style="73" customWidth="1"/>
    <col min="5" max="5" width="16.7109375" style="73" customWidth="1"/>
    <col min="6" max="6" width="19.7109375" style="73" customWidth="1"/>
    <col min="7" max="7" width="20.140625" style="73" customWidth="1"/>
    <col min="8" max="8" width="13.42578125" style="73" hidden="1" customWidth="1"/>
    <col min="9" max="9" width="13.28515625" style="73" hidden="1" customWidth="1"/>
    <col min="10" max="11" width="20.140625" style="73" customWidth="1"/>
    <col min="12" max="256" width="9.140625" style="73"/>
    <col min="257" max="257" width="36.28515625" style="73" customWidth="1"/>
    <col min="258" max="258" width="21.28515625" style="73" customWidth="1"/>
    <col min="259" max="259" width="19.42578125" style="73" customWidth="1"/>
    <col min="260" max="260" width="20.7109375" style="73" customWidth="1"/>
    <col min="261" max="261" width="20.85546875" style="73" customWidth="1"/>
    <col min="262" max="262" width="20.42578125" style="73" customWidth="1"/>
    <col min="263" max="263" width="20.140625" style="73" customWidth="1"/>
    <col min="264" max="265" width="0" style="73" hidden="1" customWidth="1"/>
    <col min="266" max="267" width="20.140625" style="73" customWidth="1"/>
    <col min="268" max="512" width="9.140625" style="73"/>
    <col min="513" max="513" width="36.28515625" style="73" customWidth="1"/>
    <col min="514" max="514" width="21.28515625" style="73" customWidth="1"/>
    <col min="515" max="515" width="19.42578125" style="73" customWidth="1"/>
    <col min="516" max="516" width="20.7109375" style="73" customWidth="1"/>
    <col min="517" max="517" width="20.85546875" style="73" customWidth="1"/>
    <col min="518" max="518" width="20.42578125" style="73" customWidth="1"/>
    <col min="519" max="519" width="20.140625" style="73" customWidth="1"/>
    <col min="520" max="521" width="0" style="73" hidden="1" customWidth="1"/>
    <col min="522" max="523" width="20.140625" style="73" customWidth="1"/>
    <col min="524" max="768" width="9.140625" style="73"/>
    <col min="769" max="769" width="36.28515625" style="73" customWidth="1"/>
    <col min="770" max="770" width="21.28515625" style="73" customWidth="1"/>
    <col min="771" max="771" width="19.42578125" style="73" customWidth="1"/>
    <col min="772" max="772" width="20.7109375" style="73" customWidth="1"/>
    <col min="773" max="773" width="20.85546875" style="73" customWidth="1"/>
    <col min="774" max="774" width="20.42578125" style="73" customWidth="1"/>
    <col min="775" max="775" width="20.140625" style="73" customWidth="1"/>
    <col min="776" max="777" width="0" style="73" hidden="1" customWidth="1"/>
    <col min="778" max="779" width="20.140625" style="73" customWidth="1"/>
    <col min="780" max="1024" width="9.140625" style="73"/>
    <col min="1025" max="1025" width="36.28515625" style="73" customWidth="1"/>
    <col min="1026" max="1026" width="21.28515625" style="73" customWidth="1"/>
    <col min="1027" max="1027" width="19.42578125" style="73" customWidth="1"/>
    <col min="1028" max="1028" width="20.7109375" style="73" customWidth="1"/>
    <col min="1029" max="1029" width="20.85546875" style="73" customWidth="1"/>
    <col min="1030" max="1030" width="20.42578125" style="73" customWidth="1"/>
    <col min="1031" max="1031" width="20.140625" style="73" customWidth="1"/>
    <col min="1032" max="1033" width="0" style="73" hidden="1" customWidth="1"/>
    <col min="1034" max="1035" width="20.140625" style="73" customWidth="1"/>
    <col min="1036" max="1280" width="9.140625" style="73"/>
    <col min="1281" max="1281" width="36.28515625" style="73" customWidth="1"/>
    <col min="1282" max="1282" width="21.28515625" style="73" customWidth="1"/>
    <col min="1283" max="1283" width="19.42578125" style="73" customWidth="1"/>
    <col min="1284" max="1284" width="20.7109375" style="73" customWidth="1"/>
    <col min="1285" max="1285" width="20.85546875" style="73" customWidth="1"/>
    <col min="1286" max="1286" width="20.42578125" style="73" customWidth="1"/>
    <col min="1287" max="1287" width="20.140625" style="73" customWidth="1"/>
    <col min="1288" max="1289" width="0" style="73" hidden="1" customWidth="1"/>
    <col min="1290" max="1291" width="20.140625" style="73" customWidth="1"/>
    <col min="1292" max="1536" width="9.140625" style="73"/>
    <col min="1537" max="1537" width="36.28515625" style="73" customWidth="1"/>
    <col min="1538" max="1538" width="21.28515625" style="73" customWidth="1"/>
    <col min="1539" max="1539" width="19.42578125" style="73" customWidth="1"/>
    <col min="1540" max="1540" width="20.7109375" style="73" customWidth="1"/>
    <col min="1541" max="1541" width="20.85546875" style="73" customWidth="1"/>
    <col min="1542" max="1542" width="20.42578125" style="73" customWidth="1"/>
    <col min="1543" max="1543" width="20.140625" style="73" customWidth="1"/>
    <col min="1544" max="1545" width="0" style="73" hidden="1" customWidth="1"/>
    <col min="1546" max="1547" width="20.140625" style="73" customWidth="1"/>
    <col min="1548" max="1792" width="9.140625" style="73"/>
    <col min="1793" max="1793" width="36.28515625" style="73" customWidth="1"/>
    <col min="1794" max="1794" width="21.28515625" style="73" customWidth="1"/>
    <col min="1795" max="1795" width="19.42578125" style="73" customWidth="1"/>
    <col min="1796" max="1796" width="20.7109375" style="73" customWidth="1"/>
    <col min="1797" max="1797" width="20.85546875" style="73" customWidth="1"/>
    <col min="1798" max="1798" width="20.42578125" style="73" customWidth="1"/>
    <col min="1799" max="1799" width="20.140625" style="73" customWidth="1"/>
    <col min="1800" max="1801" width="0" style="73" hidden="1" customWidth="1"/>
    <col min="1802" max="1803" width="20.140625" style="73" customWidth="1"/>
    <col min="1804" max="2048" width="9.140625" style="73"/>
    <col min="2049" max="2049" width="36.28515625" style="73" customWidth="1"/>
    <col min="2050" max="2050" width="21.28515625" style="73" customWidth="1"/>
    <col min="2051" max="2051" width="19.42578125" style="73" customWidth="1"/>
    <col min="2052" max="2052" width="20.7109375" style="73" customWidth="1"/>
    <col min="2053" max="2053" width="20.85546875" style="73" customWidth="1"/>
    <col min="2054" max="2054" width="20.42578125" style="73" customWidth="1"/>
    <col min="2055" max="2055" width="20.140625" style="73" customWidth="1"/>
    <col min="2056" max="2057" width="0" style="73" hidden="1" customWidth="1"/>
    <col min="2058" max="2059" width="20.140625" style="73" customWidth="1"/>
    <col min="2060" max="2304" width="9.140625" style="73"/>
    <col min="2305" max="2305" width="36.28515625" style="73" customWidth="1"/>
    <col min="2306" max="2306" width="21.28515625" style="73" customWidth="1"/>
    <col min="2307" max="2307" width="19.42578125" style="73" customWidth="1"/>
    <col min="2308" max="2308" width="20.7109375" style="73" customWidth="1"/>
    <col min="2309" max="2309" width="20.85546875" style="73" customWidth="1"/>
    <col min="2310" max="2310" width="20.42578125" style="73" customWidth="1"/>
    <col min="2311" max="2311" width="20.140625" style="73" customWidth="1"/>
    <col min="2312" max="2313" width="0" style="73" hidden="1" customWidth="1"/>
    <col min="2314" max="2315" width="20.140625" style="73" customWidth="1"/>
    <col min="2316" max="2560" width="9.140625" style="73"/>
    <col min="2561" max="2561" width="36.28515625" style="73" customWidth="1"/>
    <col min="2562" max="2562" width="21.28515625" style="73" customWidth="1"/>
    <col min="2563" max="2563" width="19.42578125" style="73" customWidth="1"/>
    <col min="2564" max="2564" width="20.7109375" style="73" customWidth="1"/>
    <col min="2565" max="2565" width="20.85546875" style="73" customWidth="1"/>
    <col min="2566" max="2566" width="20.42578125" style="73" customWidth="1"/>
    <col min="2567" max="2567" width="20.140625" style="73" customWidth="1"/>
    <col min="2568" max="2569" width="0" style="73" hidden="1" customWidth="1"/>
    <col min="2570" max="2571" width="20.140625" style="73" customWidth="1"/>
    <col min="2572" max="2816" width="9.140625" style="73"/>
    <col min="2817" max="2817" width="36.28515625" style="73" customWidth="1"/>
    <col min="2818" max="2818" width="21.28515625" style="73" customWidth="1"/>
    <col min="2819" max="2819" width="19.42578125" style="73" customWidth="1"/>
    <col min="2820" max="2820" width="20.7109375" style="73" customWidth="1"/>
    <col min="2821" max="2821" width="20.85546875" style="73" customWidth="1"/>
    <col min="2822" max="2822" width="20.42578125" style="73" customWidth="1"/>
    <col min="2823" max="2823" width="20.140625" style="73" customWidth="1"/>
    <col min="2824" max="2825" width="0" style="73" hidden="1" customWidth="1"/>
    <col min="2826" max="2827" width="20.140625" style="73" customWidth="1"/>
    <col min="2828" max="3072" width="9.140625" style="73"/>
    <col min="3073" max="3073" width="36.28515625" style="73" customWidth="1"/>
    <col min="3074" max="3074" width="21.28515625" style="73" customWidth="1"/>
    <col min="3075" max="3075" width="19.42578125" style="73" customWidth="1"/>
    <col min="3076" max="3076" width="20.7109375" style="73" customWidth="1"/>
    <col min="3077" max="3077" width="20.85546875" style="73" customWidth="1"/>
    <col min="3078" max="3078" width="20.42578125" style="73" customWidth="1"/>
    <col min="3079" max="3079" width="20.140625" style="73" customWidth="1"/>
    <col min="3080" max="3081" width="0" style="73" hidden="1" customWidth="1"/>
    <col min="3082" max="3083" width="20.140625" style="73" customWidth="1"/>
    <col min="3084" max="3328" width="9.140625" style="73"/>
    <col min="3329" max="3329" width="36.28515625" style="73" customWidth="1"/>
    <col min="3330" max="3330" width="21.28515625" style="73" customWidth="1"/>
    <col min="3331" max="3331" width="19.42578125" style="73" customWidth="1"/>
    <col min="3332" max="3332" width="20.7109375" style="73" customWidth="1"/>
    <col min="3333" max="3333" width="20.85546875" style="73" customWidth="1"/>
    <col min="3334" max="3334" width="20.42578125" style="73" customWidth="1"/>
    <col min="3335" max="3335" width="20.140625" style="73" customWidth="1"/>
    <col min="3336" max="3337" width="0" style="73" hidden="1" customWidth="1"/>
    <col min="3338" max="3339" width="20.140625" style="73" customWidth="1"/>
    <col min="3340" max="3584" width="9.140625" style="73"/>
    <col min="3585" max="3585" width="36.28515625" style="73" customWidth="1"/>
    <col min="3586" max="3586" width="21.28515625" style="73" customWidth="1"/>
    <col min="3587" max="3587" width="19.42578125" style="73" customWidth="1"/>
    <col min="3588" max="3588" width="20.7109375" style="73" customWidth="1"/>
    <col min="3589" max="3589" width="20.85546875" style="73" customWidth="1"/>
    <col min="3590" max="3590" width="20.42578125" style="73" customWidth="1"/>
    <col min="3591" max="3591" width="20.140625" style="73" customWidth="1"/>
    <col min="3592" max="3593" width="0" style="73" hidden="1" customWidth="1"/>
    <col min="3594" max="3595" width="20.140625" style="73" customWidth="1"/>
    <col min="3596" max="3840" width="9.140625" style="73"/>
    <col min="3841" max="3841" width="36.28515625" style="73" customWidth="1"/>
    <col min="3842" max="3842" width="21.28515625" style="73" customWidth="1"/>
    <col min="3843" max="3843" width="19.42578125" style="73" customWidth="1"/>
    <col min="3844" max="3844" width="20.7109375" style="73" customWidth="1"/>
    <col min="3845" max="3845" width="20.85546875" style="73" customWidth="1"/>
    <col min="3846" max="3846" width="20.42578125" style="73" customWidth="1"/>
    <col min="3847" max="3847" width="20.140625" style="73" customWidth="1"/>
    <col min="3848" max="3849" width="0" style="73" hidden="1" customWidth="1"/>
    <col min="3850" max="3851" width="20.140625" style="73" customWidth="1"/>
    <col min="3852" max="4096" width="9.140625" style="73"/>
    <col min="4097" max="4097" width="36.28515625" style="73" customWidth="1"/>
    <col min="4098" max="4098" width="21.28515625" style="73" customWidth="1"/>
    <col min="4099" max="4099" width="19.42578125" style="73" customWidth="1"/>
    <col min="4100" max="4100" width="20.7109375" style="73" customWidth="1"/>
    <col min="4101" max="4101" width="20.85546875" style="73" customWidth="1"/>
    <col min="4102" max="4102" width="20.42578125" style="73" customWidth="1"/>
    <col min="4103" max="4103" width="20.140625" style="73" customWidth="1"/>
    <col min="4104" max="4105" width="0" style="73" hidden="1" customWidth="1"/>
    <col min="4106" max="4107" width="20.140625" style="73" customWidth="1"/>
    <col min="4108" max="4352" width="9.140625" style="73"/>
    <col min="4353" max="4353" width="36.28515625" style="73" customWidth="1"/>
    <col min="4354" max="4354" width="21.28515625" style="73" customWidth="1"/>
    <col min="4355" max="4355" width="19.42578125" style="73" customWidth="1"/>
    <col min="4356" max="4356" width="20.7109375" style="73" customWidth="1"/>
    <col min="4357" max="4357" width="20.85546875" style="73" customWidth="1"/>
    <col min="4358" max="4358" width="20.42578125" style="73" customWidth="1"/>
    <col min="4359" max="4359" width="20.140625" style="73" customWidth="1"/>
    <col min="4360" max="4361" width="0" style="73" hidden="1" customWidth="1"/>
    <col min="4362" max="4363" width="20.140625" style="73" customWidth="1"/>
    <col min="4364" max="4608" width="9.140625" style="73"/>
    <col min="4609" max="4609" width="36.28515625" style="73" customWidth="1"/>
    <col min="4610" max="4610" width="21.28515625" style="73" customWidth="1"/>
    <col min="4611" max="4611" width="19.42578125" style="73" customWidth="1"/>
    <col min="4612" max="4612" width="20.7109375" style="73" customWidth="1"/>
    <col min="4613" max="4613" width="20.85546875" style="73" customWidth="1"/>
    <col min="4614" max="4614" width="20.42578125" style="73" customWidth="1"/>
    <col min="4615" max="4615" width="20.140625" style="73" customWidth="1"/>
    <col min="4616" max="4617" width="0" style="73" hidden="1" customWidth="1"/>
    <col min="4618" max="4619" width="20.140625" style="73" customWidth="1"/>
    <col min="4620" max="4864" width="9.140625" style="73"/>
    <col min="4865" max="4865" width="36.28515625" style="73" customWidth="1"/>
    <col min="4866" max="4866" width="21.28515625" style="73" customWidth="1"/>
    <col min="4867" max="4867" width="19.42578125" style="73" customWidth="1"/>
    <col min="4868" max="4868" width="20.7109375" style="73" customWidth="1"/>
    <col min="4869" max="4869" width="20.85546875" style="73" customWidth="1"/>
    <col min="4870" max="4870" width="20.42578125" style="73" customWidth="1"/>
    <col min="4871" max="4871" width="20.140625" style="73" customWidth="1"/>
    <col min="4872" max="4873" width="0" style="73" hidden="1" customWidth="1"/>
    <col min="4874" max="4875" width="20.140625" style="73" customWidth="1"/>
    <col min="4876" max="5120" width="9.140625" style="73"/>
    <col min="5121" max="5121" width="36.28515625" style="73" customWidth="1"/>
    <col min="5122" max="5122" width="21.28515625" style="73" customWidth="1"/>
    <col min="5123" max="5123" width="19.42578125" style="73" customWidth="1"/>
    <col min="5124" max="5124" width="20.7109375" style="73" customWidth="1"/>
    <col min="5125" max="5125" width="20.85546875" style="73" customWidth="1"/>
    <col min="5126" max="5126" width="20.42578125" style="73" customWidth="1"/>
    <col min="5127" max="5127" width="20.140625" style="73" customWidth="1"/>
    <col min="5128" max="5129" width="0" style="73" hidden="1" customWidth="1"/>
    <col min="5130" max="5131" width="20.140625" style="73" customWidth="1"/>
    <col min="5132" max="5376" width="9.140625" style="73"/>
    <col min="5377" max="5377" width="36.28515625" style="73" customWidth="1"/>
    <col min="5378" max="5378" width="21.28515625" style="73" customWidth="1"/>
    <col min="5379" max="5379" width="19.42578125" style="73" customWidth="1"/>
    <col min="5380" max="5380" width="20.7109375" style="73" customWidth="1"/>
    <col min="5381" max="5381" width="20.85546875" style="73" customWidth="1"/>
    <col min="5382" max="5382" width="20.42578125" style="73" customWidth="1"/>
    <col min="5383" max="5383" width="20.140625" style="73" customWidth="1"/>
    <col min="5384" max="5385" width="0" style="73" hidden="1" customWidth="1"/>
    <col min="5386" max="5387" width="20.140625" style="73" customWidth="1"/>
    <col min="5388" max="5632" width="9.140625" style="73"/>
    <col min="5633" max="5633" width="36.28515625" style="73" customWidth="1"/>
    <col min="5634" max="5634" width="21.28515625" style="73" customWidth="1"/>
    <col min="5635" max="5635" width="19.42578125" style="73" customWidth="1"/>
    <col min="5636" max="5636" width="20.7109375" style="73" customWidth="1"/>
    <col min="5637" max="5637" width="20.85546875" style="73" customWidth="1"/>
    <col min="5638" max="5638" width="20.42578125" style="73" customWidth="1"/>
    <col min="5639" max="5639" width="20.140625" style="73" customWidth="1"/>
    <col min="5640" max="5641" width="0" style="73" hidden="1" customWidth="1"/>
    <col min="5642" max="5643" width="20.140625" style="73" customWidth="1"/>
    <col min="5644" max="5888" width="9.140625" style="73"/>
    <col min="5889" max="5889" width="36.28515625" style="73" customWidth="1"/>
    <col min="5890" max="5890" width="21.28515625" style="73" customWidth="1"/>
    <col min="5891" max="5891" width="19.42578125" style="73" customWidth="1"/>
    <col min="5892" max="5892" width="20.7109375" style="73" customWidth="1"/>
    <col min="5893" max="5893" width="20.85546875" style="73" customWidth="1"/>
    <col min="5894" max="5894" width="20.42578125" style="73" customWidth="1"/>
    <col min="5895" max="5895" width="20.140625" style="73" customWidth="1"/>
    <col min="5896" max="5897" width="0" style="73" hidden="1" customWidth="1"/>
    <col min="5898" max="5899" width="20.140625" style="73" customWidth="1"/>
    <col min="5900" max="6144" width="9.140625" style="73"/>
    <col min="6145" max="6145" width="36.28515625" style="73" customWidth="1"/>
    <col min="6146" max="6146" width="21.28515625" style="73" customWidth="1"/>
    <col min="6147" max="6147" width="19.42578125" style="73" customWidth="1"/>
    <col min="6148" max="6148" width="20.7109375" style="73" customWidth="1"/>
    <col min="6149" max="6149" width="20.85546875" style="73" customWidth="1"/>
    <col min="6150" max="6150" width="20.42578125" style="73" customWidth="1"/>
    <col min="6151" max="6151" width="20.140625" style="73" customWidth="1"/>
    <col min="6152" max="6153" width="0" style="73" hidden="1" customWidth="1"/>
    <col min="6154" max="6155" width="20.140625" style="73" customWidth="1"/>
    <col min="6156" max="6400" width="9.140625" style="73"/>
    <col min="6401" max="6401" width="36.28515625" style="73" customWidth="1"/>
    <col min="6402" max="6402" width="21.28515625" style="73" customWidth="1"/>
    <col min="6403" max="6403" width="19.42578125" style="73" customWidth="1"/>
    <col min="6404" max="6404" width="20.7109375" style="73" customWidth="1"/>
    <col min="6405" max="6405" width="20.85546875" style="73" customWidth="1"/>
    <col min="6406" max="6406" width="20.42578125" style="73" customWidth="1"/>
    <col min="6407" max="6407" width="20.140625" style="73" customWidth="1"/>
    <col min="6408" max="6409" width="0" style="73" hidden="1" customWidth="1"/>
    <col min="6410" max="6411" width="20.140625" style="73" customWidth="1"/>
    <col min="6412" max="6656" width="9.140625" style="73"/>
    <col min="6657" max="6657" width="36.28515625" style="73" customWidth="1"/>
    <col min="6658" max="6658" width="21.28515625" style="73" customWidth="1"/>
    <col min="6659" max="6659" width="19.42578125" style="73" customWidth="1"/>
    <col min="6660" max="6660" width="20.7109375" style="73" customWidth="1"/>
    <col min="6661" max="6661" width="20.85546875" style="73" customWidth="1"/>
    <col min="6662" max="6662" width="20.42578125" style="73" customWidth="1"/>
    <col min="6663" max="6663" width="20.140625" style="73" customWidth="1"/>
    <col min="6664" max="6665" width="0" style="73" hidden="1" customWidth="1"/>
    <col min="6666" max="6667" width="20.140625" style="73" customWidth="1"/>
    <col min="6668" max="6912" width="9.140625" style="73"/>
    <col min="6913" max="6913" width="36.28515625" style="73" customWidth="1"/>
    <col min="6914" max="6914" width="21.28515625" style="73" customWidth="1"/>
    <col min="6915" max="6915" width="19.42578125" style="73" customWidth="1"/>
    <col min="6916" max="6916" width="20.7109375" style="73" customWidth="1"/>
    <col min="6917" max="6917" width="20.85546875" style="73" customWidth="1"/>
    <col min="6918" max="6918" width="20.42578125" style="73" customWidth="1"/>
    <col min="6919" max="6919" width="20.140625" style="73" customWidth="1"/>
    <col min="6920" max="6921" width="0" style="73" hidden="1" customWidth="1"/>
    <col min="6922" max="6923" width="20.140625" style="73" customWidth="1"/>
    <col min="6924" max="7168" width="9.140625" style="73"/>
    <col min="7169" max="7169" width="36.28515625" style="73" customWidth="1"/>
    <col min="7170" max="7170" width="21.28515625" style="73" customWidth="1"/>
    <col min="7171" max="7171" width="19.42578125" style="73" customWidth="1"/>
    <col min="7172" max="7172" width="20.7109375" style="73" customWidth="1"/>
    <col min="7173" max="7173" width="20.85546875" style="73" customWidth="1"/>
    <col min="7174" max="7174" width="20.42578125" style="73" customWidth="1"/>
    <col min="7175" max="7175" width="20.140625" style="73" customWidth="1"/>
    <col min="7176" max="7177" width="0" style="73" hidden="1" customWidth="1"/>
    <col min="7178" max="7179" width="20.140625" style="73" customWidth="1"/>
    <col min="7180" max="7424" width="9.140625" style="73"/>
    <col min="7425" max="7425" width="36.28515625" style="73" customWidth="1"/>
    <col min="7426" max="7426" width="21.28515625" style="73" customWidth="1"/>
    <col min="7427" max="7427" width="19.42578125" style="73" customWidth="1"/>
    <col min="7428" max="7428" width="20.7109375" style="73" customWidth="1"/>
    <col min="7429" max="7429" width="20.85546875" style="73" customWidth="1"/>
    <col min="7430" max="7430" width="20.42578125" style="73" customWidth="1"/>
    <col min="7431" max="7431" width="20.140625" style="73" customWidth="1"/>
    <col min="7432" max="7433" width="0" style="73" hidden="1" customWidth="1"/>
    <col min="7434" max="7435" width="20.140625" style="73" customWidth="1"/>
    <col min="7436" max="7680" width="9.140625" style="73"/>
    <col min="7681" max="7681" width="36.28515625" style="73" customWidth="1"/>
    <col min="7682" max="7682" width="21.28515625" style="73" customWidth="1"/>
    <col min="7683" max="7683" width="19.42578125" style="73" customWidth="1"/>
    <col min="7684" max="7684" width="20.7109375" style="73" customWidth="1"/>
    <col min="7685" max="7685" width="20.85546875" style="73" customWidth="1"/>
    <col min="7686" max="7686" width="20.42578125" style="73" customWidth="1"/>
    <col min="7687" max="7687" width="20.140625" style="73" customWidth="1"/>
    <col min="7688" max="7689" width="0" style="73" hidden="1" customWidth="1"/>
    <col min="7690" max="7691" width="20.140625" style="73" customWidth="1"/>
    <col min="7692" max="7936" width="9.140625" style="73"/>
    <col min="7937" max="7937" width="36.28515625" style="73" customWidth="1"/>
    <col min="7938" max="7938" width="21.28515625" style="73" customWidth="1"/>
    <col min="7939" max="7939" width="19.42578125" style="73" customWidth="1"/>
    <col min="7940" max="7940" width="20.7109375" style="73" customWidth="1"/>
    <col min="7941" max="7941" width="20.85546875" style="73" customWidth="1"/>
    <col min="7942" max="7942" width="20.42578125" style="73" customWidth="1"/>
    <col min="7943" max="7943" width="20.140625" style="73" customWidth="1"/>
    <col min="7944" max="7945" width="0" style="73" hidden="1" customWidth="1"/>
    <col min="7946" max="7947" width="20.140625" style="73" customWidth="1"/>
    <col min="7948" max="8192" width="9.140625" style="73"/>
    <col min="8193" max="8193" width="36.28515625" style="73" customWidth="1"/>
    <col min="8194" max="8194" width="21.28515625" style="73" customWidth="1"/>
    <col min="8195" max="8195" width="19.42578125" style="73" customWidth="1"/>
    <col min="8196" max="8196" width="20.7109375" style="73" customWidth="1"/>
    <col min="8197" max="8197" width="20.85546875" style="73" customWidth="1"/>
    <col min="8198" max="8198" width="20.42578125" style="73" customWidth="1"/>
    <col min="8199" max="8199" width="20.140625" style="73" customWidth="1"/>
    <col min="8200" max="8201" width="0" style="73" hidden="1" customWidth="1"/>
    <col min="8202" max="8203" width="20.140625" style="73" customWidth="1"/>
    <col min="8204" max="8448" width="9.140625" style="73"/>
    <col min="8449" max="8449" width="36.28515625" style="73" customWidth="1"/>
    <col min="8450" max="8450" width="21.28515625" style="73" customWidth="1"/>
    <col min="8451" max="8451" width="19.42578125" style="73" customWidth="1"/>
    <col min="8452" max="8452" width="20.7109375" style="73" customWidth="1"/>
    <col min="8453" max="8453" width="20.85546875" style="73" customWidth="1"/>
    <col min="8454" max="8454" width="20.42578125" style="73" customWidth="1"/>
    <col min="8455" max="8455" width="20.140625" style="73" customWidth="1"/>
    <col min="8456" max="8457" width="0" style="73" hidden="1" customWidth="1"/>
    <col min="8458" max="8459" width="20.140625" style="73" customWidth="1"/>
    <col min="8460" max="8704" width="9.140625" style="73"/>
    <col min="8705" max="8705" width="36.28515625" style="73" customWidth="1"/>
    <col min="8706" max="8706" width="21.28515625" style="73" customWidth="1"/>
    <col min="8707" max="8707" width="19.42578125" style="73" customWidth="1"/>
    <col min="8708" max="8708" width="20.7109375" style="73" customWidth="1"/>
    <col min="8709" max="8709" width="20.85546875" style="73" customWidth="1"/>
    <col min="8710" max="8710" width="20.42578125" style="73" customWidth="1"/>
    <col min="8711" max="8711" width="20.140625" style="73" customWidth="1"/>
    <col min="8712" max="8713" width="0" style="73" hidden="1" customWidth="1"/>
    <col min="8714" max="8715" width="20.140625" style="73" customWidth="1"/>
    <col min="8716" max="8960" width="9.140625" style="73"/>
    <col min="8961" max="8961" width="36.28515625" style="73" customWidth="1"/>
    <col min="8962" max="8962" width="21.28515625" style="73" customWidth="1"/>
    <col min="8963" max="8963" width="19.42578125" style="73" customWidth="1"/>
    <col min="8964" max="8964" width="20.7109375" style="73" customWidth="1"/>
    <col min="8965" max="8965" width="20.85546875" style="73" customWidth="1"/>
    <col min="8966" max="8966" width="20.42578125" style="73" customWidth="1"/>
    <col min="8967" max="8967" width="20.140625" style="73" customWidth="1"/>
    <col min="8968" max="8969" width="0" style="73" hidden="1" customWidth="1"/>
    <col min="8970" max="8971" width="20.140625" style="73" customWidth="1"/>
    <col min="8972" max="9216" width="9.140625" style="73"/>
    <col min="9217" max="9217" width="36.28515625" style="73" customWidth="1"/>
    <col min="9218" max="9218" width="21.28515625" style="73" customWidth="1"/>
    <col min="9219" max="9219" width="19.42578125" style="73" customWidth="1"/>
    <col min="9220" max="9220" width="20.7109375" style="73" customWidth="1"/>
    <col min="9221" max="9221" width="20.85546875" style="73" customWidth="1"/>
    <col min="9222" max="9222" width="20.42578125" style="73" customWidth="1"/>
    <col min="9223" max="9223" width="20.140625" style="73" customWidth="1"/>
    <col min="9224" max="9225" width="0" style="73" hidden="1" customWidth="1"/>
    <col min="9226" max="9227" width="20.140625" style="73" customWidth="1"/>
    <col min="9228" max="9472" width="9.140625" style="73"/>
    <col min="9473" max="9473" width="36.28515625" style="73" customWidth="1"/>
    <col min="9474" max="9474" width="21.28515625" style="73" customWidth="1"/>
    <col min="9475" max="9475" width="19.42578125" style="73" customWidth="1"/>
    <col min="9476" max="9476" width="20.7109375" style="73" customWidth="1"/>
    <col min="9477" max="9477" width="20.85546875" style="73" customWidth="1"/>
    <col min="9478" max="9478" width="20.42578125" style="73" customWidth="1"/>
    <col min="9479" max="9479" width="20.140625" style="73" customWidth="1"/>
    <col min="9480" max="9481" width="0" style="73" hidden="1" customWidth="1"/>
    <col min="9482" max="9483" width="20.140625" style="73" customWidth="1"/>
    <col min="9484" max="9728" width="9.140625" style="73"/>
    <col min="9729" max="9729" width="36.28515625" style="73" customWidth="1"/>
    <col min="9730" max="9730" width="21.28515625" style="73" customWidth="1"/>
    <col min="9731" max="9731" width="19.42578125" style="73" customWidth="1"/>
    <col min="9732" max="9732" width="20.7109375" style="73" customWidth="1"/>
    <col min="9733" max="9733" width="20.85546875" style="73" customWidth="1"/>
    <col min="9734" max="9734" width="20.42578125" style="73" customWidth="1"/>
    <col min="9735" max="9735" width="20.140625" style="73" customWidth="1"/>
    <col min="9736" max="9737" width="0" style="73" hidden="1" customWidth="1"/>
    <col min="9738" max="9739" width="20.140625" style="73" customWidth="1"/>
    <col min="9740" max="9984" width="9.140625" style="73"/>
    <col min="9985" max="9985" width="36.28515625" style="73" customWidth="1"/>
    <col min="9986" max="9986" width="21.28515625" style="73" customWidth="1"/>
    <col min="9987" max="9987" width="19.42578125" style="73" customWidth="1"/>
    <col min="9988" max="9988" width="20.7109375" style="73" customWidth="1"/>
    <col min="9989" max="9989" width="20.85546875" style="73" customWidth="1"/>
    <col min="9990" max="9990" width="20.42578125" style="73" customWidth="1"/>
    <col min="9991" max="9991" width="20.140625" style="73" customWidth="1"/>
    <col min="9992" max="9993" width="0" style="73" hidden="1" customWidth="1"/>
    <col min="9994" max="9995" width="20.140625" style="73" customWidth="1"/>
    <col min="9996" max="10240" width="9.140625" style="73"/>
    <col min="10241" max="10241" width="36.28515625" style="73" customWidth="1"/>
    <col min="10242" max="10242" width="21.28515625" style="73" customWidth="1"/>
    <col min="10243" max="10243" width="19.42578125" style="73" customWidth="1"/>
    <col min="10244" max="10244" width="20.7109375" style="73" customWidth="1"/>
    <col min="10245" max="10245" width="20.85546875" style="73" customWidth="1"/>
    <col min="10246" max="10246" width="20.42578125" style="73" customWidth="1"/>
    <col min="10247" max="10247" width="20.140625" style="73" customWidth="1"/>
    <col min="10248" max="10249" width="0" style="73" hidden="1" customWidth="1"/>
    <col min="10250" max="10251" width="20.140625" style="73" customWidth="1"/>
    <col min="10252" max="10496" width="9.140625" style="73"/>
    <col min="10497" max="10497" width="36.28515625" style="73" customWidth="1"/>
    <col min="10498" max="10498" width="21.28515625" style="73" customWidth="1"/>
    <col min="10499" max="10499" width="19.42578125" style="73" customWidth="1"/>
    <col min="10500" max="10500" width="20.7109375" style="73" customWidth="1"/>
    <col min="10501" max="10501" width="20.85546875" style="73" customWidth="1"/>
    <col min="10502" max="10502" width="20.42578125" style="73" customWidth="1"/>
    <col min="10503" max="10503" width="20.140625" style="73" customWidth="1"/>
    <col min="10504" max="10505" width="0" style="73" hidden="1" customWidth="1"/>
    <col min="10506" max="10507" width="20.140625" style="73" customWidth="1"/>
    <col min="10508" max="10752" width="9.140625" style="73"/>
    <col min="10753" max="10753" width="36.28515625" style="73" customWidth="1"/>
    <col min="10754" max="10754" width="21.28515625" style="73" customWidth="1"/>
    <col min="10755" max="10755" width="19.42578125" style="73" customWidth="1"/>
    <col min="10756" max="10756" width="20.7109375" style="73" customWidth="1"/>
    <col min="10757" max="10757" width="20.85546875" style="73" customWidth="1"/>
    <col min="10758" max="10758" width="20.42578125" style="73" customWidth="1"/>
    <col min="10759" max="10759" width="20.140625" style="73" customWidth="1"/>
    <col min="10760" max="10761" width="0" style="73" hidden="1" customWidth="1"/>
    <col min="10762" max="10763" width="20.140625" style="73" customWidth="1"/>
    <col min="10764" max="11008" width="9.140625" style="73"/>
    <col min="11009" max="11009" width="36.28515625" style="73" customWidth="1"/>
    <col min="11010" max="11010" width="21.28515625" style="73" customWidth="1"/>
    <col min="11011" max="11011" width="19.42578125" style="73" customWidth="1"/>
    <col min="11012" max="11012" width="20.7109375" style="73" customWidth="1"/>
    <col min="11013" max="11013" width="20.85546875" style="73" customWidth="1"/>
    <col min="11014" max="11014" width="20.42578125" style="73" customWidth="1"/>
    <col min="11015" max="11015" width="20.140625" style="73" customWidth="1"/>
    <col min="11016" max="11017" width="0" style="73" hidden="1" customWidth="1"/>
    <col min="11018" max="11019" width="20.140625" style="73" customWidth="1"/>
    <col min="11020" max="11264" width="9.140625" style="73"/>
    <col min="11265" max="11265" width="36.28515625" style="73" customWidth="1"/>
    <col min="11266" max="11266" width="21.28515625" style="73" customWidth="1"/>
    <col min="11267" max="11267" width="19.42578125" style="73" customWidth="1"/>
    <col min="11268" max="11268" width="20.7109375" style="73" customWidth="1"/>
    <col min="11269" max="11269" width="20.85546875" style="73" customWidth="1"/>
    <col min="11270" max="11270" width="20.42578125" style="73" customWidth="1"/>
    <col min="11271" max="11271" width="20.140625" style="73" customWidth="1"/>
    <col min="11272" max="11273" width="0" style="73" hidden="1" customWidth="1"/>
    <col min="11274" max="11275" width="20.140625" style="73" customWidth="1"/>
    <col min="11276" max="11520" width="9.140625" style="73"/>
    <col min="11521" max="11521" width="36.28515625" style="73" customWidth="1"/>
    <col min="11522" max="11522" width="21.28515625" style="73" customWidth="1"/>
    <col min="11523" max="11523" width="19.42578125" style="73" customWidth="1"/>
    <col min="11524" max="11524" width="20.7109375" style="73" customWidth="1"/>
    <col min="11525" max="11525" width="20.85546875" style="73" customWidth="1"/>
    <col min="11526" max="11526" width="20.42578125" style="73" customWidth="1"/>
    <col min="11527" max="11527" width="20.140625" style="73" customWidth="1"/>
    <col min="11528" max="11529" width="0" style="73" hidden="1" customWidth="1"/>
    <col min="11530" max="11531" width="20.140625" style="73" customWidth="1"/>
    <col min="11532" max="11776" width="9.140625" style="73"/>
    <col min="11777" max="11777" width="36.28515625" style="73" customWidth="1"/>
    <col min="11778" max="11778" width="21.28515625" style="73" customWidth="1"/>
    <col min="11779" max="11779" width="19.42578125" style="73" customWidth="1"/>
    <col min="11780" max="11780" width="20.7109375" style="73" customWidth="1"/>
    <col min="11781" max="11781" width="20.85546875" style="73" customWidth="1"/>
    <col min="11782" max="11782" width="20.42578125" style="73" customWidth="1"/>
    <col min="11783" max="11783" width="20.140625" style="73" customWidth="1"/>
    <col min="11784" max="11785" width="0" style="73" hidden="1" customWidth="1"/>
    <col min="11786" max="11787" width="20.140625" style="73" customWidth="1"/>
    <col min="11788" max="12032" width="9.140625" style="73"/>
    <col min="12033" max="12033" width="36.28515625" style="73" customWidth="1"/>
    <col min="12034" max="12034" width="21.28515625" style="73" customWidth="1"/>
    <col min="12035" max="12035" width="19.42578125" style="73" customWidth="1"/>
    <col min="12036" max="12036" width="20.7109375" style="73" customWidth="1"/>
    <col min="12037" max="12037" width="20.85546875" style="73" customWidth="1"/>
    <col min="12038" max="12038" width="20.42578125" style="73" customWidth="1"/>
    <col min="12039" max="12039" width="20.140625" style="73" customWidth="1"/>
    <col min="12040" max="12041" width="0" style="73" hidden="1" customWidth="1"/>
    <col min="12042" max="12043" width="20.140625" style="73" customWidth="1"/>
    <col min="12044" max="12288" width="9.140625" style="73"/>
    <col min="12289" max="12289" width="36.28515625" style="73" customWidth="1"/>
    <col min="12290" max="12290" width="21.28515625" style="73" customWidth="1"/>
    <col min="12291" max="12291" width="19.42578125" style="73" customWidth="1"/>
    <col min="12292" max="12292" width="20.7109375" style="73" customWidth="1"/>
    <col min="12293" max="12293" width="20.85546875" style="73" customWidth="1"/>
    <col min="12294" max="12294" width="20.42578125" style="73" customWidth="1"/>
    <col min="12295" max="12295" width="20.140625" style="73" customWidth="1"/>
    <col min="12296" max="12297" width="0" style="73" hidden="1" customWidth="1"/>
    <col min="12298" max="12299" width="20.140625" style="73" customWidth="1"/>
    <col min="12300" max="12544" width="9.140625" style="73"/>
    <col min="12545" max="12545" width="36.28515625" style="73" customWidth="1"/>
    <col min="12546" max="12546" width="21.28515625" style="73" customWidth="1"/>
    <col min="12547" max="12547" width="19.42578125" style="73" customWidth="1"/>
    <col min="12548" max="12548" width="20.7109375" style="73" customWidth="1"/>
    <col min="12549" max="12549" width="20.85546875" style="73" customWidth="1"/>
    <col min="12550" max="12550" width="20.42578125" style="73" customWidth="1"/>
    <col min="12551" max="12551" width="20.140625" style="73" customWidth="1"/>
    <col min="12552" max="12553" width="0" style="73" hidden="1" customWidth="1"/>
    <col min="12554" max="12555" width="20.140625" style="73" customWidth="1"/>
    <col min="12556" max="12800" width="9.140625" style="73"/>
    <col min="12801" max="12801" width="36.28515625" style="73" customWidth="1"/>
    <col min="12802" max="12802" width="21.28515625" style="73" customWidth="1"/>
    <col min="12803" max="12803" width="19.42578125" style="73" customWidth="1"/>
    <col min="12804" max="12804" width="20.7109375" style="73" customWidth="1"/>
    <col min="12805" max="12805" width="20.85546875" style="73" customWidth="1"/>
    <col min="12806" max="12806" width="20.42578125" style="73" customWidth="1"/>
    <col min="12807" max="12807" width="20.140625" style="73" customWidth="1"/>
    <col min="12808" max="12809" width="0" style="73" hidden="1" customWidth="1"/>
    <col min="12810" max="12811" width="20.140625" style="73" customWidth="1"/>
    <col min="12812" max="13056" width="9.140625" style="73"/>
    <col min="13057" max="13057" width="36.28515625" style="73" customWidth="1"/>
    <col min="13058" max="13058" width="21.28515625" style="73" customWidth="1"/>
    <col min="13059" max="13059" width="19.42578125" style="73" customWidth="1"/>
    <col min="13060" max="13060" width="20.7109375" style="73" customWidth="1"/>
    <col min="13061" max="13061" width="20.85546875" style="73" customWidth="1"/>
    <col min="13062" max="13062" width="20.42578125" style="73" customWidth="1"/>
    <col min="13063" max="13063" width="20.140625" style="73" customWidth="1"/>
    <col min="13064" max="13065" width="0" style="73" hidden="1" customWidth="1"/>
    <col min="13066" max="13067" width="20.140625" style="73" customWidth="1"/>
    <col min="13068" max="13312" width="9.140625" style="73"/>
    <col min="13313" max="13313" width="36.28515625" style="73" customWidth="1"/>
    <col min="13314" max="13314" width="21.28515625" style="73" customWidth="1"/>
    <col min="13315" max="13315" width="19.42578125" style="73" customWidth="1"/>
    <col min="13316" max="13316" width="20.7109375" style="73" customWidth="1"/>
    <col min="13317" max="13317" width="20.85546875" style="73" customWidth="1"/>
    <col min="13318" max="13318" width="20.42578125" style="73" customWidth="1"/>
    <col min="13319" max="13319" width="20.140625" style="73" customWidth="1"/>
    <col min="13320" max="13321" width="0" style="73" hidden="1" customWidth="1"/>
    <col min="13322" max="13323" width="20.140625" style="73" customWidth="1"/>
    <col min="13324" max="13568" width="9.140625" style="73"/>
    <col min="13569" max="13569" width="36.28515625" style="73" customWidth="1"/>
    <col min="13570" max="13570" width="21.28515625" style="73" customWidth="1"/>
    <col min="13571" max="13571" width="19.42578125" style="73" customWidth="1"/>
    <col min="13572" max="13572" width="20.7109375" style="73" customWidth="1"/>
    <col min="13573" max="13573" width="20.85546875" style="73" customWidth="1"/>
    <col min="13574" max="13574" width="20.42578125" style="73" customWidth="1"/>
    <col min="13575" max="13575" width="20.140625" style="73" customWidth="1"/>
    <col min="13576" max="13577" width="0" style="73" hidden="1" customWidth="1"/>
    <col min="13578" max="13579" width="20.140625" style="73" customWidth="1"/>
    <col min="13580" max="13824" width="9.140625" style="73"/>
    <col min="13825" max="13825" width="36.28515625" style="73" customWidth="1"/>
    <col min="13826" max="13826" width="21.28515625" style="73" customWidth="1"/>
    <col min="13827" max="13827" width="19.42578125" style="73" customWidth="1"/>
    <col min="13828" max="13828" width="20.7109375" style="73" customWidth="1"/>
    <col min="13829" max="13829" width="20.85546875" style="73" customWidth="1"/>
    <col min="13830" max="13830" width="20.42578125" style="73" customWidth="1"/>
    <col min="13831" max="13831" width="20.140625" style="73" customWidth="1"/>
    <col min="13832" max="13833" width="0" style="73" hidden="1" customWidth="1"/>
    <col min="13834" max="13835" width="20.140625" style="73" customWidth="1"/>
    <col min="13836" max="14080" width="9.140625" style="73"/>
    <col min="14081" max="14081" width="36.28515625" style="73" customWidth="1"/>
    <col min="14082" max="14082" width="21.28515625" style="73" customWidth="1"/>
    <col min="14083" max="14083" width="19.42578125" style="73" customWidth="1"/>
    <col min="14084" max="14084" width="20.7109375" style="73" customWidth="1"/>
    <col min="14085" max="14085" width="20.85546875" style="73" customWidth="1"/>
    <col min="14086" max="14086" width="20.42578125" style="73" customWidth="1"/>
    <col min="14087" max="14087" width="20.140625" style="73" customWidth="1"/>
    <col min="14088" max="14089" width="0" style="73" hidden="1" customWidth="1"/>
    <col min="14090" max="14091" width="20.140625" style="73" customWidth="1"/>
    <col min="14092" max="14336" width="9.140625" style="73"/>
    <col min="14337" max="14337" width="36.28515625" style="73" customWidth="1"/>
    <col min="14338" max="14338" width="21.28515625" style="73" customWidth="1"/>
    <col min="14339" max="14339" width="19.42578125" style="73" customWidth="1"/>
    <col min="14340" max="14340" width="20.7109375" style="73" customWidth="1"/>
    <col min="14341" max="14341" width="20.85546875" style="73" customWidth="1"/>
    <col min="14342" max="14342" width="20.42578125" style="73" customWidth="1"/>
    <col min="14343" max="14343" width="20.140625" style="73" customWidth="1"/>
    <col min="14344" max="14345" width="0" style="73" hidden="1" customWidth="1"/>
    <col min="14346" max="14347" width="20.140625" style="73" customWidth="1"/>
    <col min="14348" max="14592" width="9.140625" style="73"/>
    <col min="14593" max="14593" width="36.28515625" style="73" customWidth="1"/>
    <col min="14594" max="14594" width="21.28515625" style="73" customWidth="1"/>
    <col min="14595" max="14595" width="19.42578125" style="73" customWidth="1"/>
    <col min="14596" max="14596" width="20.7109375" style="73" customWidth="1"/>
    <col min="14597" max="14597" width="20.85546875" style="73" customWidth="1"/>
    <col min="14598" max="14598" width="20.42578125" style="73" customWidth="1"/>
    <col min="14599" max="14599" width="20.140625" style="73" customWidth="1"/>
    <col min="14600" max="14601" width="0" style="73" hidden="1" customWidth="1"/>
    <col min="14602" max="14603" width="20.140625" style="73" customWidth="1"/>
    <col min="14604" max="14848" width="9.140625" style="73"/>
    <col min="14849" max="14849" width="36.28515625" style="73" customWidth="1"/>
    <col min="14850" max="14850" width="21.28515625" style="73" customWidth="1"/>
    <col min="14851" max="14851" width="19.42578125" style="73" customWidth="1"/>
    <col min="14852" max="14852" width="20.7109375" style="73" customWidth="1"/>
    <col min="14853" max="14853" width="20.85546875" style="73" customWidth="1"/>
    <col min="14854" max="14854" width="20.42578125" style="73" customWidth="1"/>
    <col min="14855" max="14855" width="20.140625" style="73" customWidth="1"/>
    <col min="14856" max="14857" width="0" style="73" hidden="1" customWidth="1"/>
    <col min="14858" max="14859" width="20.140625" style="73" customWidth="1"/>
    <col min="14860" max="15104" width="9.140625" style="73"/>
    <col min="15105" max="15105" width="36.28515625" style="73" customWidth="1"/>
    <col min="15106" max="15106" width="21.28515625" style="73" customWidth="1"/>
    <col min="15107" max="15107" width="19.42578125" style="73" customWidth="1"/>
    <col min="15108" max="15108" width="20.7109375" style="73" customWidth="1"/>
    <col min="15109" max="15109" width="20.85546875" style="73" customWidth="1"/>
    <col min="15110" max="15110" width="20.42578125" style="73" customWidth="1"/>
    <col min="15111" max="15111" width="20.140625" style="73" customWidth="1"/>
    <col min="15112" max="15113" width="0" style="73" hidden="1" customWidth="1"/>
    <col min="15114" max="15115" width="20.140625" style="73" customWidth="1"/>
    <col min="15116" max="15360" width="9.140625" style="73"/>
    <col min="15361" max="15361" width="36.28515625" style="73" customWidth="1"/>
    <col min="15362" max="15362" width="21.28515625" style="73" customWidth="1"/>
    <col min="15363" max="15363" width="19.42578125" style="73" customWidth="1"/>
    <col min="15364" max="15364" width="20.7109375" style="73" customWidth="1"/>
    <col min="15365" max="15365" width="20.85546875" style="73" customWidth="1"/>
    <col min="15366" max="15366" width="20.42578125" style="73" customWidth="1"/>
    <col min="15367" max="15367" width="20.140625" style="73" customWidth="1"/>
    <col min="15368" max="15369" width="0" style="73" hidden="1" customWidth="1"/>
    <col min="15370" max="15371" width="20.140625" style="73" customWidth="1"/>
    <col min="15372" max="15616" width="9.140625" style="73"/>
    <col min="15617" max="15617" width="36.28515625" style="73" customWidth="1"/>
    <col min="15618" max="15618" width="21.28515625" style="73" customWidth="1"/>
    <col min="15619" max="15619" width="19.42578125" style="73" customWidth="1"/>
    <col min="15620" max="15620" width="20.7109375" style="73" customWidth="1"/>
    <col min="15621" max="15621" width="20.85546875" style="73" customWidth="1"/>
    <col min="15622" max="15622" width="20.42578125" style="73" customWidth="1"/>
    <col min="15623" max="15623" width="20.140625" style="73" customWidth="1"/>
    <col min="15624" max="15625" width="0" style="73" hidden="1" customWidth="1"/>
    <col min="15626" max="15627" width="20.140625" style="73" customWidth="1"/>
    <col min="15628" max="15872" width="9.140625" style="73"/>
    <col min="15873" max="15873" width="36.28515625" style="73" customWidth="1"/>
    <col min="15874" max="15874" width="21.28515625" style="73" customWidth="1"/>
    <col min="15875" max="15875" width="19.42578125" style="73" customWidth="1"/>
    <col min="15876" max="15876" width="20.7109375" style="73" customWidth="1"/>
    <col min="15877" max="15877" width="20.85546875" style="73" customWidth="1"/>
    <col min="15878" max="15878" width="20.42578125" style="73" customWidth="1"/>
    <col min="15879" max="15879" width="20.140625" style="73" customWidth="1"/>
    <col min="15880" max="15881" width="0" style="73" hidden="1" customWidth="1"/>
    <col min="15882" max="15883" width="20.140625" style="73" customWidth="1"/>
    <col min="15884" max="16128" width="9.140625" style="73"/>
    <col min="16129" max="16129" width="36.28515625" style="73" customWidth="1"/>
    <col min="16130" max="16130" width="21.28515625" style="73" customWidth="1"/>
    <col min="16131" max="16131" width="19.42578125" style="73" customWidth="1"/>
    <col min="16132" max="16132" width="20.7109375" style="73" customWidth="1"/>
    <col min="16133" max="16133" width="20.85546875" style="73" customWidth="1"/>
    <col min="16134" max="16134" width="20.42578125" style="73" customWidth="1"/>
    <col min="16135" max="16135" width="20.140625" style="73" customWidth="1"/>
    <col min="16136" max="16137" width="0" style="73" hidden="1" customWidth="1"/>
    <col min="16138" max="16139" width="20.140625" style="73" customWidth="1"/>
    <col min="16140" max="16384" width="9.140625" style="73"/>
  </cols>
  <sheetData>
    <row r="1" spans="1:11" s="408" customFormat="1" ht="25.5" customHeight="1" x14ac:dyDescent="0.25">
      <c r="A1" s="900" t="s">
        <v>53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</row>
    <row r="2" spans="1:11" s="408" customFormat="1" ht="67.5" customHeight="1" x14ac:dyDescent="0.25">
      <c r="A2" s="849" t="s">
        <v>718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</row>
    <row r="3" spans="1:11" ht="15" customHeight="1" x14ac:dyDescent="0.2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x14ac:dyDescent="0.25">
      <c r="K4" s="74" t="s">
        <v>15</v>
      </c>
    </row>
    <row r="5" spans="1:11" s="307" customFormat="1" ht="124.5" customHeight="1" x14ac:dyDescent="0.2">
      <c r="A5" s="406" t="s">
        <v>188</v>
      </c>
      <c r="B5" s="406" t="s">
        <v>189</v>
      </c>
      <c r="C5" s="406" t="s">
        <v>190</v>
      </c>
      <c r="D5" s="122" t="s">
        <v>191</v>
      </c>
      <c r="E5" s="122" t="s">
        <v>192</v>
      </c>
      <c r="F5" s="122" t="s">
        <v>193</v>
      </c>
      <c r="G5" s="122" t="s">
        <v>195</v>
      </c>
      <c r="H5" s="122" t="s">
        <v>414</v>
      </c>
      <c r="I5" s="122" t="s">
        <v>415</v>
      </c>
      <c r="J5" s="122" t="s">
        <v>205</v>
      </c>
      <c r="K5" s="122" t="s">
        <v>589</v>
      </c>
    </row>
    <row r="6" spans="1:11" s="307" customFormat="1" ht="16.5" customHeight="1" x14ac:dyDescent="0.2">
      <c r="A6" s="406">
        <v>1</v>
      </c>
      <c r="B6" s="406">
        <v>2</v>
      </c>
      <c r="C6" s="406">
        <v>3</v>
      </c>
      <c r="D6" s="122">
        <v>4</v>
      </c>
      <c r="E6" s="122">
        <v>5</v>
      </c>
      <c r="F6" s="122">
        <v>6</v>
      </c>
      <c r="G6" s="122">
        <v>7</v>
      </c>
      <c r="H6" s="309">
        <v>6</v>
      </c>
      <c r="I6" s="309">
        <v>7</v>
      </c>
      <c r="J6" s="122">
        <v>8</v>
      </c>
      <c r="K6" s="122">
        <v>9</v>
      </c>
    </row>
    <row r="7" spans="1:11" x14ac:dyDescent="0.25">
      <c r="A7" s="40" t="s">
        <v>3</v>
      </c>
      <c r="B7" s="72">
        <v>7112.5</v>
      </c>
      <c r="C7" s="72">
        <f>192.8+3856.1</f>
        <v>4048.9</v>
      </c>
      <c r="D7" s="72">
        <v>192.8</v>
      </c>
      <c r="E7" s="72">
        <v>7468.1</v>
      </c>
      <c r="F7" s="72">
        <v>355.6</v>
      </c>
      <c r="G7" s="72">
        <f>(B7*(C7-D7))/(E7-F7)</f>
        <v>3856.1</v>
      </c>
      <c r="H7" s="75">
        <f t="shared" ref="H7:H15" si="0">E7</f>
        <v>7468.1</v>
      </c>
      <c r="I7" s="75">
        <f>H7</f>
        <v>7468.1</v>
      </c>
      <c r="J7" s="72">
        <v>3856.1</v>
      </c>
      <c r="K7" s="72">
        <v>3856.1</v>
      </c>
    </row>
    <row r="8" spans="1:11" x14ac:dyDescent="0.25">
      <c r="A8" s="40" t="s">
        <v>58</v>
      </c>
      <c r="B8" s="72">
        <v>7112.5</v>
      </c>
      <c r="C8" s="72">
        <f>30.2+604</f>
        <v>634.20000000000005</v>
      </c>
      <c r="D8" s="72">
        <v>30.2</v>
      </c>
      <c r="E8" s="72">
        <v>7468.1</v>
      </c>
      <c r="F8" s="72">
        <v>355.6</v>
      </c>
      <c r="G8" s="72">
        <f t="shared" ref="G8:G15" si="1">(B8*(C8-D8))/(E8-F8)</f>
        <v>604</v>
      </c>
      <c r="H8" s="75">
        <f t="shared" si="0"/>
        <v>7468.1</v>
      </c>
      <c r="I8" s="75">
        <f t="shared" ref="I8:I15" si="2">H8</f>
        <v>7468.1</v>
      </c>
      <c r="J8" s="72">
        <v>604</v>
      </c>
      <c r="K8" s="72">
        <v>604</v>
      </c>
    </row>
    <row r="9" spans="1:11" x14ac:dyDescent="0.25">
      <c r="A9" s="40" t="s">
        <v>55</v>
      </c>
      <c r="B9" s="72">
        <v>7112.5</v>
      </c>
      <c r="C9" s="72">
        <f>24.4+488.7</f>
        <v>513.1</v>
      </c>
      <c r="D9" s="72">
        <v>24.4</v>
      </c>
      <c r="E9" s="72">
        <v>7468.1</v>
      </c>
      <c r="F9" s="72">
        <v>355.6</v>
      </c>
      <c r="G9" s="72">
        <f t="shared" si="1"/>
        <v>488.70000000000005</v>
      </c>
      <c r="H9" s="75">
        <f t="shared" si="0"/>
        <v>7468.1</v>
      </c>
      <c r="I9" s="75">
        <f t="shared" si="2"/>
        <v>7468.1</v>
      </c>
      <c r="J9" s="72">
        <v>488.70000000000005</v>
      </c>
      <c r="K9" s="72">
        <v>488.70000000000005</v>
      </c>
    </row>
    <row r="10" spans="1:11" x14ac:dyDescent="0.25">
      <c r="A10" s="40" t="s">
        <v>60</v>
      </c>
      <c r="B10" s="72">
        <v>7112.5</v>
      </c>
      <c r="C10" s="72">
        <f>26.3+525</f>
        <v>551.29999999999995</v>
      </c>
      <c r="D10" s="72">
        <v>26.3</v>
      </c>
      <c r="E10" s="72">
        <v>7468.1</v>
      </c>
      <c r="F10" s="72">
        <v>355.6</v>
      </c>
      <c r="G10" s="72">
        <f t="shared" si="1"/>
        <v>525</v>
      </c>
      <c r="H10" s="75">
        <f t="shared" si="0"/>
        <v>7468.1</v>
      </c>
      <c r="I10" s="75">
        <f t="shared" si="2"/>
        <v>7468.1</v>
      </c>
      <c r="J10" s="72">
        <v>525</v>
      </c>
      <c r="K10" s="72">
        <v>525</v>
      </c>
    </row>
    <row r="11" spans="1:11" x14ac:dyDescent="0.25">
      <c r="A11" s="40" t="s">
        <v>57</v>
      </c>
      <c r="B11" s="72">
        <v>7112.5</v>
      </c>
      <c r="C11" s="72">
        <f>7.7+153.7</f>
        <v>161.39999999999998</v>
      </c>
      <c r="D11" s="72">
        <v>7.7</v>
      </c>
      <c r="E11" s="72">
        <v>7468.1</v>
      </c>
      <c r="F11" s="72">
        <v>355.6</v>
      </c>
      <c r="G11" s="72">
        <f t="shared" si="1"/>
        <v>153.69999999999999</v>
      </c>
      <c r="H11" s="75">
        <f t="shared" si="0"/>
        <v>7468.1</v>
      </c>
      <c r="I11" s="75">
        <f t="shared" si="2"/>
        <v>7468.1</v>
      </c>
      <c r="J11" s="72">
        <v>153.69999999999999</v>
      </c>
      <c r="K11" s="72">
        <v>153.69999999999999</v>
      </c>
    </row>
    <row r="12" spans="1:11" x14ac:dyDescent="0.25">
      <c r="A12" s="40" t="s">
        <v>61</v>
      </c>
      <c r="B12" s="72">
        <v>7112.5</v>
      </c>
      <c r="C12" s="72">
        <f>25.5+510.9</f>
        <v>536.4</v>
      </c>
      <c r="D12" s="72">
        <v>25.5</v>
      </c>
      <c r="E12" s="72">
        <v>7468.1</v>
      </c>
      <c r="F12" s="72">
        <v>355.6</v>
      </c>
      <c r="G12" s="72">
        <f t="shared" si="1"/>
        <v>510.9</v>
      </c>
      <c r="H12" s="75">
        <f t="shared" si="0"/>
        <v>7468.1</v>
      </c>
      <c r="I12" s="75">
        <f t="shared" si="2"/>
        <v>7468.1</v>
      </c>
      <c r="J12" s="72">
        <v>510.9</v>
      </c>
      <c r="K12" s="72">
        <v>510.9</v>
      </c>
    </row>
    <row r="13" spans="1:11" x14ac:dyDescent="0.25">
      <c r="A13" s="40" t="s">
        <v>62</v>
      </c>
      <c r="B13" s="72">
        <v>7112.5</v>
      </c>
      <c r="C13" s="72">
        <f>15.2+304.4</f>
        <v>319.59999999999997</v>
      </c>
      <c r="D13" s="72">
        <v>15.2</v>
      </c>
      <c r="E13" s="72">
        <v>7468.1</v>
      </c>
      <c r="F13" s="72">
        <v>355.6</v>
      </c>
      <c r="G13" s="72">
        <f t="shared" si="1"/>
        <v>304.39999999999998</v>
      </c>
      <c r="H13" s="75">
        <f t="shared" si="0"/>
        <v>7468.1</v>
      </c>
      <c r="I13" s="75">
        <f t="shared" si="2"/>
        <v>7468.1</v>
      </c>
      <c r="J13" s="72">
        <v>304.39999999999998</v>
      </c>
      <c r="K13" s="72">
        <v>304.39999999999998</v>
      </c>
    </row>
    <row r="14" spans="1:11" x14ac:dyDescent="0.25">
      <c r="A14" s="40" t="s">
        <v>63</v>
      </c>
      <c r="B14" s="72">
        <v>7112.5</v>
      </c>
      <c r="C14" s="72">
        <f>15+299.8</f>
        <v>314.8</v>
      </c>
      <c r="D14" s="72">
        <v>15</v>
      </c>
      <c r="E14" s="72">
        <v>7468.1</v>
      </c>
      <c r="F14" s="72">
        <v>355.6</v>
      </c>
      <c r="G14" s="72">
        <f t="shared" si="1"/>
        <v>299.8</v>
      </c>
      <c r="H14" s="75">
        <f t="shared" si="0"/>
        <v>7468.1</v>
      </c>
      <c r="I14" s="75">
        <f t="shared" si="2"/>
        <v>7468.1</v>
      </c>
      <c r="J14" s="72">
        <v>299.8</v>
      </c>
      <c r="K14" s="72">
        <v>299.8</v>
      </c>
    </row>
    <row r="15" spans="1:11" x14ac:dyDescent="0.25">
      <c r="A15" s="40" t="s">
        <v>64</v>
      </c>
      <c r="B15" s="72">
        <v>7112.5</v>
      </c>
      <c r="C15" s="72">
        <f>18.5+369.9</f>
        <v>388.4</v>
      </c>
      <c r="D15" s="72">
        <v>18.5</v>
      </c>
      <c r="E15" s="72">
        <v>7468.1</v>
      </c>
      <c r="F15" s="72">
        <v>355.6</v>
      </c>
      <c r="G15" s="72">
        <f t="shared" si="1"/>
        <v>369.9</v>
      </c>
      <c r="H15" s="75">
        <f t="shared" si="0"/>
        <v>7468.1</v>
      </c>
      <c r="I15" s="75">
        <f t="shared" si="2"/>
        <v>7468.1</v>
      </c>
      <c r="J15" s="72">
        <v>369.9</v>
      </c>
      <c r="K15" s="72">
        <v>369.9</v>
      </c>
    </row>
    <row r="16" spans="1:11" ht="21.75" customHeight="1" x14ac:dyDescent="0.25">
      <c r="A16" s="407" t="s">
        <v>4</v>
      </c>
      <c r="B16" s="72">
        <v>7112.5</v>
      </c>
      <c r="C16" s="76">
        <f>SUM(C7:C15)</f>
        <v>7468.1</v>
      </c>
      <c r="D16" s="72">
        <f>SUM(D7:D15)</f>
        <v>355.59999999999997</v>
      </c>
      <c r="E16" s="72">
        <v>7468.1</v>
      </c>
      <c r="F16" s="72">
        <v>355.6</v>
      </c>
      <c r="G16" s="72">
        <f>SUM(G7:G15)</f>
        <v>7112.4999999999991</v>
      </c>
      <c r="H16" s="72">
        <f>SUM(H7:H15)</f>
        <v>67212.899999999994</v>
      </c>
      <c r="I16" s="72">
        <f>SUM(I7:I15)</f>
        <v>67212.899999999994</v>
      </c>
      <c r="J16" s="72">
        <f>SUM(J7:J15)</f>
        <v>7112.4999999999991</v>
      </c>
      <c r="K16" s="72">
        <f>SUM(K7:K15)</f>
        <v>7112.4999999999991</v>
      </c>
    </row>
    <row r="17" spans="1:1" ht="27" customHeight="1" x14ac:dyDescent="0.25">
      <c r="A17" s="73" t="s">
        <v>194</v>
      </c>
    </row>
  </sheetData>
  <mergeCells count="2">
    <mergeCell ref="A2:K2"/>
    <mergeCell ref="A1:K1"/>
  </mergeCells>
  <printOptions horizontalCentered="1"/>
  <pageMargins left="0.23622047244094491" right="0.19685039370078741" top="0.45" bottom="0.27" header="0.31496062992125984" footer="0.31496062992125984"/>
  <pageSetup paperSize="9"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21"/>
  <sheetViews>
    <sheetView workbookViewId="0">
      <selection activeCell="A3" sqref="A3:O3"/>
    </sheetView>
  </sheetViews>
  <sheetFormatPr defaultRowHeight="12.75" x14ac:dyDescent="0.2"/>
  <cols>
    <col min="1" max="1" width="25.28515625" style="311" customWidth="1"/>
    <col min="2" max="2" width="14.28515625" style="311" bestFit="1" customWidth="1"/>
    <col min="3" max="3" width="16.7109375" style="311" customWidth="1"/>
    <col min="4" max="4" width="22.5703125" style="311" hidden="1" customWidth="1"/>
    <col min="5" max="5" width="12.5703125" style="311" customWidth="1"/>
    <col min="6" max="6" width="12.28515625" style="311" customWidth="1"/>
    <col min="7" max="7" width="13.28515625" style="311" customWidth="1"/>
    <col min="8" max="8" width="14.5703125" style="311" customWidth="1"/>
    <col min="9" max="9" width="12.42578125" style="311" bestFit="1" customWidth="1"/>
    <col min="10" max="10" width="18.85546875" style="311" customWidth="1"/>
    <col min="11" max="11" width="16.140625" style="311" customWidth="1"/>
    <col min="12" max="12" width="12.42578125" style="311" bestFit="1" customWidth="1"/>
    <col min="13" max="13" width="15.5703125" style="311" customWidth="1"/>
    <col min="14" max="14" width="14.85546875" style="311" customWidth="1"/>
    <col min="15" max="15" width="15.140625" style="311" customWidth="1"/>
    <col min="16" max="16384" width="9.140625" style="311"/>
  </cols>
  <sheetData>
    <row r="2" spans="1:15" ht="15.75" x14ac:dyDescent="0.25">
      <c r="A2" s="730" t="s">
        <v>53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ht="69.75" customHeight="1" x14ac:dyDescent="0.25">
      <c r="A3" s="743" t="s">
        <v>719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</row>
    <row r="7" spans="1:15" s="209" customFormat="1" ht="15" customHeight="1" x14ac:dyDescent="0.25">
      <c r="A7" s="906" t="s">
        <v>1</v>
      </c>
      <c r="B7" s="907" t="s">
        <v>277</v>
      </c>
      <c r="C7" s="906" t="s">
        <v>416</v>
      </c>
      <c r="D7" s="906" t="s">
        <v>278</v>
      </c>
      <c r="E7" s="907" t="s">
        <v>417</v>
      </c>
      <c r="F7" s="909" t="s">
        <v>279</v>
      </c>
      <c r="G7" s="909"/>
      <c r="H7" s="909"/>
      <c r="I7" s="901" t="s">
        <v>280</v>
      </c>
      <c r="J7" s="902"/>
      <c r="K7" s="902"/>
      <c r="L7" s="903"/>
      <c r="M7" s="897" t="s">
        <v>303</v>
      </c>
      <c r="N7" s="897" t="s">
        <v>304</v>
      </c>
      <c r="O7" s="897" t="s">
        <v>305</v>
      </c>
    </row>
    <row r="8" spans="1:15" s="209" customFormat="1" ht="141.75" customHeight="1" x14ac:dyDescent="0.25">
      <c r="A8" s="906"/>
      <c r="B8" s="908"/>
      <c r="C8" s="906"/>
      <c r="D8" s="906"/>
      <c r="E8" s="908"/>
      <c r="F8" s="122" t="s">
        <v>281</v>
      </c>
      <c r="G8" s="122" t="s">
        <v>282</v>
      </c>
      <c r="H8" s="122" t="s">
        <v>283</v>
      </c>
      <c r="I8" s="122" t="s">
        <v>284</v>
      </c>
      <c r="J8" s="122" t="s">
        <v>285</v>
      </c>
      <c r="K8" s="122" t="s">
        <v>283</v>
      </c>
      <c r="L8" s="309" t="s">
        <v>286</v>
      </c>
      <c r="M8" s="897"/>
      <c r="N8" s="897"/>
      <c r="O8" s="897"/>
    </row>
    <row r="9" spans="1:15" s="213" customFormat="1" ht="12" x14ac:dyDescent="0.2">
      <c r="A9" s="305">
        <v>1</v>
      </c>
      <c r="B9" s="305"/>
      <c r="C9" s="305">
        <v>2</v>
      </c>
      <c r="D9" s="305">
        <v>3</v>
      </c>
      <c r="E9" s="210">
        <v>3</v>
      </c>
      <c r="F9" s="211">
        <v>4</v>
      </c>
      <c r="G9" s="211">
        <v>5</v>
      </c>
      <c r="H9" s="211">
        <v>6</v>
      </c>
      <c r="I9" s="211" t="s">
        <v>287</v>
      </c>
      <c r="J9" s="211" t="s">
        <v>288</v>
      </c>
      <c r="K9" s="211" t="s">
        <v>289</v>
      </c>
      <c r="L9" s="212" t="s">
        <v>290</v>
      </c>
      <c r="M9" s="212" t="s">
        <v>291</v>
      </c>
      <c r="N9" s="211">
        <v>12</v>
      </c>
      <c r="O9" s="211">
        <v>13</v>
      </c>
    </row>
    <row r="10" spans="1:15" s="13" customFormat="1" ht="15.75" x14ac:dyDescent="0.25">
      <c r="A10" s="904" t="s">
        <v>3</v>
      </c>
      <c r="B10" s="214" t="s">
        <v>292</v>
      </c>
      <c r="C10" s="197">
        <v>234.78</v>
      </c>
      <c r="D10" s="197">
        <v>408.18</v>
      </c>
      <c r="E10" s="109">
        <v>247</v>
      </c>
      <c r="F10" s="312">
        <v>3</v>
      </c>
      <c r="G10" s="312">
        <v>13</v>
      </c>
      <c r="H10" s="312">
        <v>0</v>
      </c>
      <c r="I10" s="416">
        <f>F10*E10*C10/1000</f>
        <v>173.97198</v>
      </c>
      <c r="J10" s="416">
        <f>G10*E10*C10/1000</f>
        <v>753.87857999999994</v>
      </c>
      <c r="K10" s="416">
        <f>C10*E10*H10/1000</f>
        <v>0</v>
      </c>
      <c r="L10" s="416">
        <f>SUM(I10:K10)</f>
        <v>927.85055999999997</v>
      </c>
      <c r="M10" s="416">
        <f>ROUND(L10*0.5,1)</f>
        <v>463.9</v>
      </c>
      <c r="N10" s="417">
        <v>463.9</v>
      </c>
      <c r="O10" s="417">
        <v>463.9</v>
      </c>
    </row>
    <row r="11" spans="1:15" s="13" customFormat="1" ht="15.75" x14ac:dyDescent="0.25">
      <c r="A11" s="905"/>
      <c r="B11" s="214" t="s">
        <v>293</v>
      </c>
      <c r="C11" s="197">
        <v>247.16</v>
      </c>
      <c r="D11" s="197"/>
      <c r="E11" s="109">
        <v>247</v>
      </c>
      <c r="F11" s="312">
        <v>22</v>
      </c>
      <c r="G11" s="312">
        <v>25</v>
      </c>
      <c r="H11" s="312">
        <v>7</v>
      </c>
      <c r="I11" s="416">
        <f>F11*E11*C11/1000</f>
        <v>1343.06744</v>
      </c>
      <c r="J11" s="416">
        <f>G11*E11*C11/1000</f>
        <v>1526.213</v>
      </c>
      <c r="K11" s="416">
        <f>C11*E11*H11/1000</f>
        <v>427.33963999999997</v>
      </c>
      <c r="L11" s="416">
        <f>SUM(I11:K11)</f>
        <v>3296.6200800000001</v>
      </c>
      <c r="M11" s="416">
        <f>ROUND(L11*0.5,1)</f>
        <v>1648.3</v>
      </c>
      <c r="N11" s="417">
        <v>1648.3</v>
      </c>
      <c r="O11" s="417">
        <v>1648.3</v>
      </c>
    </row>
    <row r="12" spans="1:15" s="13" customFormat="1" ht="15.75" x14ac:dyDescent="0.25">
      <c r="A12" s="308" t="s">
        <v>294</v>
      </c>
      <c r="B12" s="214"/>
      <c r="C12" s="197" t="s">
        <v>220</v>
      </c>
      <c r="D12" s="197"/>
      <c r="E12" s="109"/>
      <c r="F12" s="312">
        <f>F11+F10</f>
        <v>25</v>
      </c>
      <c r="G12" s="312">
        <f t="shared" ref="G12:L12" si="0">G11+G10</f>
        <v>38</v>
      </c>
      <c r="H12" s="312">
        <f t="shared" si="0"/>
        <v>7</v>
      </c>
      <c r="I12" s="416">
        <f t="shared" si="0"/>
        <v>1517.0394200000001</v>
      </c>
      <c r="J12" s="416">
        <f t="shared" si="0"/>
        <v>2280.0915799999998</v>
      </c>
      <c r="K12" s="416">
        <f t="shared" si="0"/>
        <v>427.33963999999997</v>
      </c>
      <c r="L12" s="416">
        <f t="shared" si="0"/>
        <v>4224.4706400000005</v>
      </c>
      <c r="M12" s="416">
        <f>M11+M10</f>
        <v>2112.1999999999998</v>
      </c>
      <c r="N12" s="416">
        <v>2112.1999999999998</v>
      </c>
      <c r="O12" s="416">
        <v>2112.1999999999998</v>
      </c>
    </row>
    <row r="13" spans="1:15" s="13" customFormat="1" ht="15.75" x14ac:dyDescent="0.25">
      <c r="A13" s="214" t="s">
        <v>295</v>
      </c>
      <c r="B13" s="214"/>
      <c r="C13" s="197">
        <v>200</v>
      </c>
      <c r="D13" s="215"/>
      <c r="E13" s="109">
        <v>247</v>
      </c>
      <c r="F13" s="312">
        <v>4</v>
      </c>
      <c r="G13" s="312">
        <v>5</v>
      </c>
      <c r="H13" s="312">
        <v>0</v>
      </c>
      <c r="I13" s="416">
        <f>F13*E13*C13/1000</f>
        <v>197.6</v>
      </c>
      <c r="J13" s="416">
        <f t="shared" ref="J13:J20" si="1">G13*E13*C13/1000</f>
        <v>247</v>
      </c>
      <c r="K13" s="416">
        <f t="shared" ref="K13:K20" si="2">C13*E13*H13/1000</f>
        <v>0</v>
      </c>
      <c r="L13" s="416">
        <f t="shared" ref="L13:L19" si="3">SUM(I13:K13)</f>
        <v>444.6</v>
      </c>
      <c r="M13" s="416">
        <f t="shared" ref="M13:M20" si="4">ROUND(L13*0.5,1)</f>
        <v>222.3</v>
      </c>
      <c r="N13" s="417">
        <v>222.3</v>
      </c>
      <c r="O13" s="417">
        <v>222.3</v>
      </c>
    </row>
    <row r="14" spans="1:15" s="13" customFormat="1" ht="15.75" x14ac:dyDescent="0.25">
      <c r="A14" s="214" t="s">
        <v>296</v>
      </c>
      <c r="B14" s="214"/>
      <c r="C14" s="197">
        <v>223.85</v>
      </c>
      <c r="D14" s="215"/>
      <c r="E14" s="109">
        <v>247</v>
      </c>
      <c r="F14" s="312">
        <v>0</v>
      </c>
      <c r="G14" s="312">
        <v>6</v>
      </c>
      <c r="H14" s="312">
        <v>0</v>
      </c>
      <c r="I14" s="416">
        <f t="shared" ref="I14:I20" si="5">F14*E14*C14/1000</f>
        <v>0</v>
      </c>
      <c r="J14" s="416">
        <f t="shared" si="1"/>
        <v>331.7457</v>
      </c>
      <c r="K14" s="416">
        <f t="shared" si="2"/>
        <v>0</v>
      </c>
      <c r="L14" s="416">
        <f t="shared" si="3"/>
        <v>331.7457</v>
      </c>
      <c r="M14" s="416">
        <f t="shared" si="4"/>
        <v>165.9</v>
      </c>
      <c r="N14" s="417">
        <v>165.9</v>
      </c>
      <c r="O14" s="417">
        <v>165.9</v>
      </c>
    </row>
    <row r="15" spans="1:15" s="13" customFormat="1" ht="15.75" x14ac:dyDescent="0.25">
      <c r="A15" s="214" t="s">
        <v>297</v>
      </c>
      <c r="B15" s="214"/>
      <c r="C15" s="197">
        <v>250</v>
      </c>
      <c r="D15" s="215"/>
      <c r="E15" s="109">
        <v>247</v>
      </c>
      <c r="F15" s="312">
        <v>2</v>
      </c>
      <c r="G15" s="312">
        <v>0</v>
      </c>
      <c r="H15" s="312">
        <v>20</v>
      </c>
      <c r="I15" s="416">
        <f t="shared" si="5"/>
        <v>123.5</v>
      </c>
      <c r="J15" s="416">
        <f t="shared" si="1"/>
        <v>0</v>
      </c>
      <c r="K15" s="416">
        <f t="shared" si="2"/>
        <v>1235</v>
      </c>
      <c r="L15" s="416">
        <f t="shared" si="3"/>
        <v>1358.5</v>
      </c>
      <c r="M15" s="416">
        <f t="shared" si="4"/>
        <v>679.3</v>
      </c>
      <c r="N15" s="417">
        <v>679.3</v>
      </c>
      <c r="O15" s="417">
        <v>679.3</v>
      </c>
    </row>
    <row r="16" spans="1:15" s="13" customFormat="1" ht="15.75" x14ac:dyDescent="0.25">
      <c r="A16" s="214" t="s">
        <v>298</v>
      </c>
      <c r="B16" s="214"/>
      <c r="C16" s="197">
        <v>255</v>
      </c>
      <c r="D16" s="215"/>
      <c r="E16" s="109">
        <v>247</v>
      </c>
      <c r="F16" s="312">
        <v>1</v>
      </c>
      <c r="G16" s="312">
        <v>3</v>
      </c>
      <c r="H16" s="312">
        <v>0</v>
      </c>
      <c r="I16" s="416">
        <f t="shared" si="5"/>
        <v>62.984999999999999</v>
      </c>
      <c r="J16" s="416">
        <f t="shared" si="1"/>
        <v>188.95500000000001</v>
      </c>
      <c r="K16" s="416">
        <f t="shared" si="2"/>
        <v>0</v>
      </c>
      <c r="L16" s="416">
        <f t="shared" si="3"/>
        <v>251.94</v>
      </c>
      <c r="M16" s="416">
        <f t="shared" si="4"/>
        <v>126</v>
      </c>
      <c r="N16" s="417">
        <v>126</v>
      </c>
      <c r="O16" s="417">
        <v>126</v>
      </c>
    </row>
    <row r="17" spans="1:15" s="13" customFormat="1" ht="15.75" x14ac:dyDescent="0.25">
      <c r="A17" s="214" t="s">
        <v>299</v>
      </c>
      <c r="B17" s="214" t="s">
        <v>293</v>
      </c>
      <c r="C17" s="197">
        <v>197.5</v>
      </c>
      <c r="D17" s="215"/>
      <c r="E17" s="109">
        <v>247</v>
      </c>
      <c r="F17" s="312">
        <v>2</v>
      </c>
      <c r="G17" s="312">
        <v>3</v>
      </c>
      <c r="H17" s="312">
        <v>0</v>
      </c>
      <c r="I17" s="416">
        <f t="shared" si="5"/>
        <v>97.564999999999998</v>
      </c>
      <c r="J17" s="416">
        <f t="shared" si="1"/>
        <v>146.3475</v>
      </c>
      <c r="K17" s="416">
        <f t="shared" si="2"/>
        <v>0</v>
      </c>
      <c r="L17" s="416">
        <f t="shared" si="3"/>
        <v>243.91249999999999</v>
      </c>
      <c r="M17" s="416">
        <f t="shared" si="4"/>
        <v>122</v>
      </c>
      <c r="N17" s="417">
        <v>122</v>
      </c>
      <c r="O17" s="417">
        <v>122</v>
      </c>
    </row>
    <row r="18" spans="1:15" s="13" customFormat="1" ht="15.75" x14ac:dyDescent="0.25">
      <c r="A18" s="214" t="s">
        <v>300</v>
      </c>
      <c r="B18" s="214"/>
      <c r="C18" s="197">
        <v>220</v>
      </c>
      <c r="D18" s="197">
        <v>205</v>
      </c>
      <c r="E18" s="109">
        <v>247</v>
      </c>
      <c r="F18" s="312">
        <v>4</v>
      </c>
      <c r="G18" s="312">
        <v>4</v>
      </c>
      <c r="H18" s="312">
        <v>0</v>
      </c>
      <c r="I18" s="416">
        <f t="shared" si="5"/>
        <v>217.36</v>
      </c>
      <c r="J18" s="416">
        <f t="shared" si="1"/>
        <v>217.36</v>
      </c>
      <c r="K18" s="416">
        <f t="shared" si="2"/>
        <v>0</v>
      </c>
      <c r="L18" s="416">
        <f t="shared" si="3"/>
        <v>434.72</v>
      </c>
      <c r="M18" s="416">
        <f t="shared" si="4"/>
        <v>217.4</v>
      </c>
      <c r="N18" s="417">
        <v>217.4</v>
      </c>
      <c r="O18" s="417">
        <v>217.4</v>
      </c>
    </row>
    <row r="19" spans="1:15" s="13" customFormat="1" ht="15.75" x14ac:dyDescent="0.25">
      <c r="A19" s="214" t="s">
        <v>301</v>
      </c>
      <c r="B19" s="214"/>
      <c r="C19" s="197">
        <v>240</v>
      </c>
      <c r="D19" s="215"/>
      <c r="E19" s="109">
        <v>247</v>
      </c>
      <c r="F19" s="312">
        <v>3</v>
      </c>
      <c r="G19" s="312">
        <v>7</v>
      </c>
      <c r="H19" s="312">
        <v>0</v>
      </c>
      <c r="I19" s="416">
        <f t="shared" si="5"/>
        <v>177.84</v>
      </c>
      <c r="J19" s="416">
        <f t="shared" si="1"/>
        <v>414.96</v>
      </c>
      <c r="K19" s="416">
        <f t="shared" si="2"/>
        <v>0</v>
      </c>
      <c r="L19" s="416">
        <f t="shared" si="3"/>
        <v>592.79999999999995</v>
      </c>
      <c r="M19" s="416">
        <f t="shared" si="4"/>
        <v>296.39999999999998</v>
      </c>
      <c r="N19" s="417">
        <v>296.39999999999998</v>
      </c>
      <c r="O19" s="417">
        <v>296.39999999999998</v>
      </c>
    </row>
    <row r="20" spans="1:15" s="13" customFormat="1" ht="15.75" x14ac:dyDescent="0.25">
      <c r="A20" s="214" t="s">
        <v>302</v>
      </c>
      <c r="B20" s="214"/>
      <c r="C20" s="197">
        <v>179.1</v>
      </c>
      <c r="D20" s="215"/>
      <c r="E20" s="109">
        <v>247</v>
      </c>
      <c r="F20" s="312">
        <v>2</v>
      </c>
      <c r="G20" s="312">
        <v>2</v>
      </c>
      <c r="H20" s="312">
        <v>0</v>
      </c>
      <c r="I20" s="416">
        <f t="shared" si="5"/>
        <v>88.475399999999993</v>
      </c>
      <c r="J20" s="416">
        <f t="shared" si="1"/>
        <v>88.475399999999993</v>
      </c>
      <c r="K20" s="416">
        <f t="shared" si="2"/>
        <v>0</v>
      </c>
      <c r="L20" s="416">
        <f>SUM(I20:K20)</f>
        <v>176.95079999999999</v>
      </c>
      <c r="M20" s="416">
        <f t="shared" si="4"/>
        <v>88.5</v>
      </c>
      <c r="N20" s="417">
        <v>88.5</v>
      </c>
      <c r="O20" s="417">
        <v>88.5</v>
      </c>
    </row>
    <row r="21" spans="1:15" ht="15.75" x14ac:dyDescent="0.25">
      <c r="A21" s="414" t="s">
        <v>4</v>
      </c>
      <c r="B21" s="414"/>
      <c r="C21" s="250"/>
      <c r="D21" s="250"/>
      <c r="E21" s="250"/>
      <c r="F21" s="415">
        <f>F10+F11+F13+F14+F15+F16+F17+F18+F19+F20</f>
        <v>43</v>
      </c>
      <c r="G21" s="415">
        <f t="shared" ref="G21:M21" si="6">G10+G11+G13+G14+G15+G16+G17+G18+G19+G20</f>
        <v>68</v>
      </c>
      <c r="H21" s="415">
        <f t="shared" si="6"/>
        <v>27</v>
      </c>
      <c r="I21" s="418">
        <f t="shared" si="6"/>
        <v>2482.3648199999998</v>
      </c>
      <c r="J21" s="418">
        <f t="shared" si="6"/>
        <v>3914.9351799999995</v>
      </c>
      <c r="K21" s="418">
        <f t="shared" si="6"/>
        <v>1662.3396399999999</v>
      </c>
      <c r="L21" s="418">
        <f t="shared" si="6"/>
        <v>8059.6396400000012</v>
      </c>
      <c r="M21" s="418">
        <f t="shared" si="6"/>
        <v>4030</v>
      </c>
      <c r="N21" s="416">
        <v>4030</v>
      </c>
      <c r="O21" s="416">
        <v>4030</v>
      </c>
    </row>
  </sheetData>
  <mergeCells count="13">
    <mergeCell ref="A2:O2"/>
    <mergeCell ref="I7:L7"/>
    <mergeCell ref="M7:M8"/>
    <mergeCell ref="N7:N8"/>
    <mergeCell ref="A10:A11"/>
    <mergeCell ref="O7:O8"/>
    <mergeCell ref="A3:O3"/>
    <mergeCell ref="A7:A8"/>
    <mergeCell ref="B7:B8"/>
    <mergeCell ref="C7:C8"/>
    <mergeCell ref="D7:D8"/>
    <mergeCell ref="E7:E8"/>
    <mergeCell ref="F7:H7"/>
  </mergeCells>
  <pageMargins left="0.28999999999999998" right="0.31" top="0.74803149606299213" bottom="0.74803149606299213" header="0.31496062992125984" footer="0.31496062992125984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"/>
  <sheetViews>
    <sheetView workbookViewId="0">
      <selection activeCell="M19" sqref="M19"/>
    </sheetView>
  </sheetViews>
  <sheetFormatPr defaultRowHeight="12.75" x14ac:dyDescent="0.2"/>
  <cols>
    <col min="1" max="1" width="33.140625" customWidth="1"/>
    <col min="2" max="6" width="16.28515625" customWidth="1"/>
    <col min="7" max="8" width="16.28515625" style="311" customWidth="1"/>
    <col min="9" max="9" width="17.5703125" style="311" customWidth="1"/>
  </cols>
  <sheetData>
    <row r="1" spans="1:9" s="411" customFormat="1" ht="15.75" x14ac:dyDescent="0.25">
      <c r="A1" s="910" t="s">
        <v>53</v>
      </c>
      <c r="B1" s="910"/>
      <c r="C1" s="910"/>
      <c r="D1" s="910"/>
      <c r="E1" s="910"/>
      <c r="F1" s="910"/>
      <c r="G1" s="910"/>
      <c r="H1" s="910"/>
      <c r="I1" s="910"/>
    </row>
    <row r="2" spans="1:9" s="411" customFormat="1" ht="75" customHeight="1" x14ac:dyDescent="0.2">
      <c r="A2" s="911" t="s">
        <v>720</v>
      </c>
      <c r="B2" s="911"/>
      <c r="C2" s="911"/>
      <c r="D2" s="911"/>
      <c r="E2" s="911"/>
      <c r="F2" s="911"/>
      <c r="G2" s="911"/>
      <c r="H2" s="911"/>
      <c r="I2" s="911"/>
    </row>
    <row r="3" spans="1:9" ht="18.75" x14ac:dyDescent="0.3">
      <c r="A3" s="912"/>
      <c r="B3" s="912"/>
      <c r="C3" s="912"/>
      <c r="D3" s="912"/>
      <c r="E3" s="912"/>
      <c r="F3" s="912"/>
      <c r="G3" s="912"/>
      <c r="H3" s="44"/>
      <c r="I3" s="44"/>
    </row>
    <row r="4" spans="1:9" ht="15.75" x14ac:dyDescent="0.25">
      <c r="A4" s="6"/>
      <c r="B4" s="5"/>
      <c r="C4" s="5"/>
      <c r="D4" s="5"/>
      <c r="E4" s="5"/>
      <c r="F4" s="5"/>
      <c r="G4" s="45"/>
      <c r="H4" s="45"/>
      <c r="I4" s="45" t="s">
        <v>15</v>
      </c>
    </row>
    <row r="5" spans="1:9" ht="15.75" x14ac:dyDescent="0.2">
      <c r="A5" s="913" t="s">
        <v>188</v>
      </c>
      <c r="B5" s="913" t="s">
        <v>134</v>
      </c>
      <c r="C5" s="913"/>
      <c r="D5" s="913"/>
      <c r="E5" s="913"/>
      <c r="F5" s="913"/>
      <c r="G5" s="913"/>
      <c r="H5" s="913"/>
      <c r="I5" s="913"/>
    </row>
    <row r="6" spans="1:9" ht="126" x14ac:dyDescent="0.2">
      <c r="A6" s="913"/>
      <c r="B6" s="43" t="s">
        <v>74</v>
      </c>
      <c r="C6" s="43" t="s">
        <v>75</v>
      </c>
      <c r="D6" s="43" t="s">
        <v>131</v>
      </c>
      <c r="E6" s="43" t="s">
        <v>133</v>
      </c>
      <c r="F6" s="46" t="s">
        <v>132</v>
      </c>
      <c r="G6" s="43" t="s">
        <v>184</v>
      </c>
      <c r="H6" s="43" t="s">
        <v>203</v>
      </c>
      <c r="I6" s="43" t="s">
        <v>306</v>
      </c>
    </row>
    <row r="7" spans="1:9" ht="15.75" x14ac:dyDescent="0.25">
      <c r="A7" s="47" t="s">
        <v>6</v>
      </c>
      <c r="B7" s="48">
        <v>5373.8</v>
      </c>
      <c r="C7" s="48">
        <v>5374.8</v>
      </c>
      <c r="D7" s="48">
        <v>1</v>
      </c>
      <c r="E7" s="48">
        <v>5374.8</v>
      </c>
      <c r="F7" s="48">
        <v>1</v>
      </c>
      <c r="G7" s="412">
        <v>5373.8</v>
      </c>
      <c r="H7" s="412">
        <v>5373.8</v>
      </c>
      <c r="I7" s="412">
        <v>5373.8</v>
      </c>
    </row>
    <row r="8" spans="1:9" ht="15.75" x14ac:dyDescent="0.25">
      <c r="A8" s="40" t="s">
        <v>57</v>
      </c>
      <c r="B8" s="48">
        <v>49</v>
      </c>
      <c r="C8" s="48">
        <v>51.9</v>
      </c>
      <c r="D8" s="48">
        <v>2.9</v>
      </c>
      <c r="E8" s="48">
        <v>51.9</v>
      </c>
      <c r="F8" s="48">
        <v>2.9</v>
      </c>
      <c r="G8" s="412">
        <v>49</v>
      </c>
      <c r="H8" s="412">
        <v>49</v>
      </c>
      <c r="I8" s="412">
        <v>49</v>
      </c>
    </row>
    <row r="9" spans="1:9" ht="15.75" x14ac:dyDescent="0.25">
      <c r="A9" s="40" t="s">
        <v>63</v>
      </c>
      <c r="B9" s="48">
        <v>58</v>
      </c>
      <c r="C9" s="48">
        <v>63.8</v>
      </c>
      <c r="D9" s="48">
        <v>5.8</v>
      </c>
      <c r="E9" s="48">
        <v>63.8</v>
      </c>
      <c r="F9" s="48">
        <v>5.8</v>
      </c>
      <c r="G9" s="412">
        <v>58</v>
      </c>
      <c r="H9" s="412">
        <v>58</v>
      </c>
      <c r="I9" s="412">
        <v>58</v>
      </c>
    </row>
    <row r="10" spans="1:9" ht="15.75" x14ac:dyDescent="0.25">
      <c r="A10" s="125" t="s">
        <v>4</v>
      </c>
      <c r="B10" s="126">
        <v>5480.8</v>
      </c>
      <c r="C10" s="126">
        <v>5490.5</v>
      </c>
      <c r="D10" s="126">
        <v>9.6999999999999993</v>
      </c>
      <c r="E10" s="126">
        <v>8629.2000000000007</v>
      </c>
      <c r="F10" s="126">
        <v>9.6999999999999993</v>
      </c>
      <c r="G10" s="413">
        <f>SUM(G7:G9)</f>
        <v>5480.8</v>
      </c>
      <c r="H10" s="413">
        <f>SUM(H7:H9)</f>
        <v>5480.8</v>
      </c>
      <c r="I10" s="413">
        <f>SUM(I7:I9)</f>
        <v>5480.8</v>
      </c>
    </row>
  </sheetData>
  <mergeCells count="5">
    <mergeCell ref="A1:I1"/>
    <mergeCell ref="A2:I2"/>
    <mergeCell ref="A3:G3"/>
    <mergeCell ref="A5:A6"/>
    <mergeCell ref="B5:I5"/>
  </mergeCells>
  <pageMargins left="0.47" right="0.51" top="0.74803149606299213" bottom="0.74803149606299213" header="0.31496062992125984" footer="0.31496062992125984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"/>
  <sheetViews>
    <sheetView workbookViewId="0">
      <selection activeCell="H18" sqref="H18"/>
    </sheetView>
  </sheetViews>
  <sheetFormatPr defaultRowHeight="15.75" x14ac:dyDescent="0.25"/>
  <cols>
    <col min="1" max="1" width="23.5703125" style="209" customWidth="1"/>
    <col min="2" max="2" width="20.140625" style="209" customWidth="1"/>
    <col min="3" max="3" width="32.5703125" style="209" customWidth="1"/>
    <col min="4" max="4" width="13.85546875" style="209" customWidth="1"/>
    <col min="5" max="5" width="12.28515625" style="209" customWidth="1"/>
    <col min="6" max="6" width="14.85546875" style="209" customWidth="1"/>
    <col min="7" max="7" width="17.7109375" style="209" customWidth="1"/>
    <col min="8" max="16384" width="9.140625" style="209"/>
  </cols>
  <sheetData>
    <row r="1" spans="1:6" x14ac:dyDescent="0.25">
      <c r="A1" s="730" t="s">
        <v>53</v>
      </c>
      <c r="B1" s="730"/>
      <c r="C1" s="730"/>
      <c r="D1" s="730"/>
      <c r="E1" s="730"/>
      <c r="F1" s="730"/>
    </row>
    <row r="2" spans="1:6" ht="78.75" customHeight="1" x14ac:dyDescent="0.25">
      <c r="A2" s="866" t="s">
        <v>752</v>
      </c>
      <c r="B2" s="866"/>
      <c r="C2" s="866"/>
      <c r="D2" s="866"/>
      <c r="E2" s="866"/>
      <c r="F2" s="866"/>
    </row>
    <row r="5" spans="1:6" x14ac:dyDescent="0.25">
      <c r="F5" s="209" t="s">
        <v>15</v>
      </c>
    </row>
    <row r="6" spans="1:6" ht="33.75" customHeight="1" x14ac:dyDescent="0.25">
      <c r="A6" s="914" t="s">
        <v>196</v>
      </c>
      <c r="B6" s="914" t="s">
        <v>473</v>
      </c>
      <c r="C6" s="914" t="s">
        <v>472</v>
      </c>
      <c r="D6" s="813" t="s">
        <v>471</v>
      </c>
      <c r="E6" s="813" t="s">
        <v>470</v>
      </c>
      <c r="F6" s="813" t="s">
        <v>469</v>
      </c>
    </row>
    <row r="7" spans="1:6" ht="90" customHeight="1" x14ac:dyDescent="0.25">
      <c r="A7" s="914"/>
      <c r="B7" s="914"/>
      <c r="C7" s="914"/>
      <c r="D7" s="915"/>
      <c r="E7" s="915"/>
      <c r="F7" s="915"/>
    </row>
    <row r="8" spans="1:6" x14ac:dyDescent="0.25">
      <c r="A8" s="478">
        <v>1</v>
      </c>
      <c r="B8" s="478">
        <v>2</v>
      </c>
      <c r="C8" s="478">
        <v>3</v>
      </c>
      <c r="D8" s="477">
        <v>4</v>
      </c>
      <c r="E8" s="478">
        <v>5</v>
      </c>
      <c r="F8" s="477">
        <v>6</v>
      </c>
    </row>
    <row r="9" spans="1:6" x14ac:dyDescent="0.25">
      <c r="A9" s="446" t="s">
        <v>3</v>
      </c>
      <c r="B9" s="476">
        <v>11519.9</v>
      </c>
      <c r="C9" s="476">
        <v>2720</v>
      </c>
      <c r="D9" s="316">
        <f>B9-C9</f>
        <v>8799.9</v>
      </c>
      <c r="E9" s="316">
        <v>8799.9</v>
      </c>
      <c r="F9" s="477">
        <v>8799.9</v>
      </c>
    </row>
    <row r="10" spans="1:6" x14ac:dyDescent="0.25">
      <c r="A10" s="446" t="s">
        <v>4</v>
      </c>
      <c r="B10" s="476"/>
      <c r="C10" s="476"/>
      <c r="D10" s="316">
        <f>D9</f>
        <v>8799.9</v>
      </c>
      <c r="E10" s="316">
        <f>E9</f>
        <v>8799.9</v>
      </c>
      <c r="F10" s="316">
        <f>F9</f>
        <v>8799.9</v>
      </c>
    </row>
  </sheetData>
  <mergeCells count="8">
    <mergeCell ref="A1:F1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3"/>
  <sheetViews>
    <sheetView workbookViewId="0">
      <selection activeCell="A2" sqref="A2:F2"/>
    </sheetView>
  </sheetViews>
  <sheetFormatPr defaultRowHeight="12.75" x14ac:dyDescent="0.2"/>
  <cols>
    <col min="1" max="1" width="47.7109375" style="479" customWidth="1"/>
    <col min="2" max="2" width="12.140625" style="479" customWidth="1"/>
    <col min="3" max="3" width="12.42578125" style="479" customWidth="1"/>
    <col min="4" max="4" width="12.85546875" style="479" customWidth="1"/>
    <col min="5" max="5" width="12.7109375" style="479" customWidth="1"/>
    <col min="6" max="6" width="14.85546875" style="479" customWidth="1"/>
    <col min="7" max="16384" width="9.140625" style="479"/>
  </cols>
  <sheetData>
    <row r="1" spans="1:6" s="209" customFormat="1" ht="16.5" customHeight="1" x14ac:dyDescent="0.25">
      <c r="A1" s="729" t="s">
        <v>53</v>
      </c>
      <c r="B1" s="729"/>
      <c r="C1" s="729"/>
      <c r="D1" s="729"/>
      <c r="E1" s="729"/>
      <c r="F1" s="729"/>
    </row>
    <row r="2" spans="1:6" ht="78" customHeight="1" x14ac:dyDescent="0.25">
      <c r="A2" s="729" t="s">
        <v>477</v>
      </c>
      <c r="B2" s="729"/>
      <c r="C2" s="729"/>
      <c r="D2" s="729"/>
      <c r="E2" s="729"/>
      <c r="F2" s="729"/>
    </row>
    <row r="3" spans="1:6" ht="15.75" x14ac:dyDescent="0.25">
      <c r="A3" s="317"/>
      <c r="B3" s="317"/>
      <c r="C3" s="317"/>
      <c r="D3" s="483"/>
      <c r="E3" s="483"/>
      <c r="F3" s="483" t="s">
        <v>423</v>
      </c>
    </row>
    <row r="4" spans="1:6" s="426" customFormat="1" ht="23.25" customHeight="1" x14ac:dyDescent="0.2">
      <c r="A4" s="916" t="s">
        <v>188</v>
      </c>
      <c r="B4" s="738" t="s">
        <v>180</v>
      </c>
      <c r="C4" s="738"/>
      <c r="D4" s="738"/>
      <c r="E4" s="427" t="s">
        <v>204</v>
      </c>
      <c r="F4" s="427" t="s">
        <v>333</v>
      </c>
    </row>
    <row r="5" spans="1:6" s="481" customFormat="1" ht="118.5" customHeight="1" x14ac:dyDescent="0.2">
      <c r="A5" s="916"/>
      <c r="B5" s="482" t="s">
        <v>476</v>
      </c>
      <c r="C5" s="482" t="s">
        <v>475</v>
      </c>
      <c r="D5" s="482" t="s">
        <v>474</v>
      </c>
      <c r="E5" s="482" t="s">
        <v>474</v>
      </c>
      <c r="F5" s="482" t="s">
        <v>474</v>
      </c>
    </row>
    <row r="6" spans="1:6" ht="15.75" x14ac:dyDescent="0.25">
      <c r="A6" s="480" t="s">
        <v>62</v>
      </c>
      <c r="B6" s="480">
        <v>37</v>
      </c>
      <c r="C6" s="480">
        <v>1</v>
      </c>
      <c r="D6" s="480">
        <f t="shared" ref="D6:D12" si="0">B6*C6</f>
        <v>37</v>
      </c>
      <c r="E6" s="480">
        <v>37</v>
      </c>
      <c r="F6" s="480">
        <v>37</v>
      </c>
    </row>
    <row r="7" spans="1:6" ht="15.75" x14ac:dyDescent="0.25">
      <c r="A7" s="480" t="s">
        <v>58</v>
      </c>
      <c r="B7" s="480">
        <v>35</v>
      </c>
      <c r="C7" s="480">
        <v>1</v>
      </c>
      <c r="D7" s="480">
        <f t="shared" si="0"/>
        <v>35</v>
      </c>
      <c r="E7" s="480">
        <v>35</v>
      </c>
      <c r="F7" s="480">
        <v>35</v>
      </c>
    </row>
    <row r="8" spans="1:6" ht="15.75" x14ac:dyDescent="0.25">
      <c r="A8" s="480" t="s">
        <v>64</v>
      </c>
      <c r="B8" s="480">
        <v>35</v>
      </c>
      <c r="C8" s="480">
        <v>1</v>
      </c>
      <c r="D8" s="480">
        <f t="shared" si="0"/>
        <v>35</v>
      </c>
      <c r="E8" s="480">
        <v>35</v>
      </c>
      <c r="F8" s="480">
        <v>35</v>
      </c>
    </row>
    <row r="9" spans="1:6" ht="15.75" x14ac:dyDescent="0.25">
      <c r="A9" s="480" t="s">
        <v>63</v>
      </c>
      <c r="B9" s="480">
        <v>35</v>
      </c>
      <c r="C9" s="480">
        <v>1</v>
      </c>
      <c r="D9" s="480">
        <f t="shared" si="0"/>
        <v>35</v>
      </c>
      <c r="E9" s="480">
        <v>35</v>
      </c>
      <c r="F9" s="480">
        <v>35</v>
      </c>
    </row>
    <row r="10" spans="1:6" ht="15.75" x14ac:dyDescent="0.25">
      <c r="A10" s="480" t="s">
        <v>60</v>
      </c>
      <c r="B10" s="480">
        <v>37.5</v>
      </c>
      <c r="C10" s="480">
        <v>1</v>
      </c>
      <c r="D10" s="480">
        <f t="shared" si="0"/>
        <v>37.5</v>
      </c>
      <c r="E10" s="480">
        <v>37.5</v>
      </c>
      <c r="F10" s="480">
        <v>37.5</v>
      </c>
    </row>
    <row r="11" spans="1:6" ht="15.75" x14ac:dyDescent="0.25">
      <c r="A11" s="480" t="s">
        <v>57</v>
      </c>
      <c r="B11" s="480">
        <v>35.5</v>
      </c>
      <c r="C11" s="480">
        <v>1</v>
      </c>
      <c r="D11" s="480">
        <f t="shared" si="0"/>
        <v>35.5</v>
      </c>
      <c r="E11" s="480">
        <v>35.5</v>
      </c>
      <c r="F11" s="480">
        <v>35.5</v>
      </c>
    </row>
    <row r="12" spans="1:6" ht="15.75" x14ac:dyDescent="0.25">
      <c r="A12" s="480" t="s">
        <v>61</v>
      </c>
      <c r="B12" s="480">
        <v>35</v>
      </c>
      <c r="C12" s="480">
        <v>1</v>
      </c>
      <c r="D12" s="480">
        <f t="shared" si="0"/>
        <v>35</v>
      </c>
      <c r="E12" s="480">
        <v>35</v>
      </c>
      <c r="F12" s="480">
        <v>35</v>
      </c>
    </row>
    <row r="13" spans="1:6" s="209" customFormat="1" ht="15.75" x14ac:dyDescent="0.25">
      <c r="A13" s="421" t="s">
        <v>17</v>
      </c>
      <c r="B13" s="421"/>
      <c r="C13" s="421"/>
      <c r="D13" s="480">
        <f>SUM(D6:D12)</f>
        <v>250</v>
      </c>
      <c r="E13" s="480">
        <f>SUM(E6:E12)</f>
        <v>250</v>
      </c>
      <c r="F13" s="480">
        <f>SUM(F6:F12)</f>
        <v>250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"/>
  <sheetViews>
    <sheetView workbookViewId="0">
      <selection activeCell="G2" sqref="G2"/>
    </sheetView>
  </sheetViews>
  <sheetFormatPr defaultRowHeight="12.75" x14ac:dyDescent="0.2"/>
  <cols>
    <col min="1" max="1" width="41.7109375" style="479" customWidth="1"/>
    <col min="2" max="2" width="14.140625" style="479" customWidth="1"/>
    <col min="3" max="3" width="13.7109375" style="479" customWidth="1"/>
    <col min="4" max="4" width="10.85546875" style="479" customWidth="1"/>
    <col min="5" max="5" width="14.5703125" style="479" customWidth="1"/>
    <col min="6" max="6" width="10.42578125" style="479" customWidth="1"/>
    <col min="7" max="16384" width="9.140625" style="479"/>
  </cols>
  <sheetData>
    <row r="1" spans="1:6" ht="15.75" x14ac:dyDescent="0.25">
      <c r="A1" s="730" t="s">
        <v>53</v>
      </c>
      <c r="B1" s="730"/>
      <c r="C1" s="730"/>
      <c r="D1" s="730"/>
      <c r="E1" s="730"/>
      <c r="F1" s="730"/>
    </row>
    <row r="2" spans="1:6" ht="76.5" customHeight="1" x14ac:dyDescent="0.25">
      <c r="A2" s="729" t="s">
        <v>478</v>
      </c>
      <c r="B2" s="729"/>
      <c r="C2" s="729"/>
      <c r="D2" s="729"/>
      <c r="E2" s="729"/>
      <c r="F2" s="729"/>
    </row>
    <row r="3" spans="1:6" ht="37.5" customHeight="1" x14ac:dyDescent="0.25">
      <c r="A3" s="317"/>
      <c r="B3" s="317"/>
      <c r="C3" s="317"/>
      <c r="D3" s="483"/>
      <c r="E3" s="483"/>
      <c r="F3" s="483" t="s">
        <v>423</v>
      </c>
    </row>
    <row r="4" spans="1:6" s="426" customFormat="1" ht="23.25" customHeight="1" x14ac:dyDescent="0.2">
      <c r="A4" s="916" t="s">
        <v>188</v>
      </c>
      <c r="B4" s="738" t="s">
        <v>180</v>
      </c>
      <c r="C4" s="738"/>
      <c r="D4" s="738"/>
      <c r="E4" s="427" t="s">
        <v>204</v>
      </c>
      <c r="F4" s="427" t="s">
        <v>333</v>
      </c>
    </row>
    <row r="5" spans="1:6" ht="125.25" customHeight="1" x14ac:dyDescent="0.2">
      <c r="A5" s="916"/>
      <c r="B5" s="482" t="s">
        <v>476</v>
      </c>
      <c r="C5" s="482" t="s">
        <v>475</v>
      </c>
      <c r="D5" s="482" t="s">
        <v>474</v>
      </c>
      <c r="E5" s="482" t="s">
        <v>474</v>
      </c>
      <c r="F5" s="482" t="s">
        <v>474</v>
      </c>
    </row>
    <row r="6" spans="1:6" ht="15.75" x14ac:dyDescent="0.25">
      <c r="A6" s="480" t="s">
        <v>57</v>
      </c>
      <c r="B6" s="480">
        <v>55</v>
      </c>
      <c r="C6" s="480">
        <v>1</v>
      </c>
      <c r="D6" s="480">
        <f>B6*C6</f>
        <v>55</v>
      </c>
      <c r="E6" s="480">
        <v>55</v>
      </c>
      <c r="F6" s="480">
        <v>55</v>
      </c>
    </row>
    <row r="7" spans="1:6" ht="15.75" x14ac:dyDescent="0.25">
      <c r="A7" s="480" t="s">
        <v>60</v>
      </c>
      <c r="B7" s="480">
        <v>9</v>
      </c>
      <c r="C7" s="480">
        <v>1</v>
      </c>
      <c r="D7" s="480">
        <f>B7*C7</f>
        <v>9</v>
      </c>
      <c r="E7" s="480">
        <v>9</v>
      </c>
      <c r="F7" s="480">
        <v>9</v>
      </c>
    </row>
    <row r="8" spans="1:6" ht="15.75" x14ac:dyDescent="0.25">
      <c r="A8" s="480" t="s">
        <v>58</v>
      </c>
      <c r="B8" s="480">
        <v>36</v>
      </c>
      <c r="C8" s="480">
        <v>1</v>
      </c>
      <c r="D8" s="480">
        <f>B8*C8</f>
        <v>36</v>
      </c>
      <c r="E8" s="480">
        <v>36</v>
      </c>
      <c r="F8" s="480">
        <v>36</v>
      </c>
    </row>
    <row r="9" spans="1:6" s="209" customFormat="1" ht="15.75" x14ac:dyDescent="0.25">
      <c r="A9" s="421" t="s">
        <v>17</v>
      </c>
      <c r="B9" s="421"/>
      <c r="C9" s="421"/>
      <c r="D9" s="480">
        <f>SUM(D6:D8)</f>
        <v>100</v>
      </c>
      <c r="E9" s="480">
        <f>SUM(E6:E8)</f>
        <v>100</v>
      </c>
      <c r="F9" s="480">
        <f>SUM(F6:F8)</f>
        <v>100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7"/>
  <sheetViews>
    <sheetView topLeftCell="A82" zoomScaleNormal="100" workbookViewId="0">
      <selection activeCell="G102" sqref="G102"/>
    </sheetView>
  </sheetViews>
  <sheetFormatPr defaultColWidth="18.28515625" defaultRowHeight="12.75" x14ac:dyDescent="0.2"/>
  <cols>
    <col min="1" max="1" width="34" style="433" customWidth="1"/>
    <col min="2" max="2" width="20.7109375" style="433" customWidth="1"/>
    <col min="3" max="3" width="17.42578125" style="433" hidden="1" customWidth="1"/>
    <col min="4" max="4" width="18.140625" style="433" hidden="1" customWidth="1"/>
    <col min="5" max="5" width="23.42578125" style="433" hidden="1" customWidth="1"/>
    <col min="6" max="6" width="24.85546875" style="433" hidden="1" customWidth="1"/>
    <col min="7" max="7" width="22" style="433" customWidth="1"/>
    <col min="8" max="8" width="20.85546875" style="433" customWidth="1"/>
    <col min="9" max="9" width="26.42578125" style="433" customWidth="1"/>
    <col min="10" max="10" width="28.28515625" style="433" customWidth="1"/>
    <col min="11" max="11" width="22.140625" style="433" customWidth="1"/>
    <col min="12" max="13" width="13.42578125" style="433" customWidth="1"/>
    <col min="14" max="15" width="13.7109375" style="433" customWidth="1"/>
    <col min="16" max="17" width="13.42578125" style="433" customWidth="1"/>
    <col min="18" max="18" width="10.85546875" style="433" customWidth="1"/>
    <col min="19" max="19" width="12.28515625" style="433" customWidth="1"/>
    <col min="20" max="16384" width="18.28515625" style="433"/>
  </cols>
  <sheetData>
    <row r="1" spans="1:15" ht="19.5" x14ac:dyDescent="0.3">
      <c r="A1" s="749" t="s">
        <v>468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475"/>
      <c r="M1" s="475"/>
      <c r="N1" s="475"/>
      <c r="O1" s="475"/>
    </row>
    <row r="2" spans="1:15" ht="70.5" customHeight="1" x14ac:dyDescent="0.3">
      <c r="A2" s="749" t="s">
        <v>467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475"/>
      <c r="M2" s="475"/>
      <c r="N2" s="475"/>
      <c r="O2" s="475"/>
    </row>
    <row r="3" spans="1:15" ht="19.5" customHeight="1" x14ac:dyDescent="0.3">
      <c r="A3" s="749" t="s">
        <v>466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475"/>
      <c r="M3" s="475"/>
      <c r="N3" s="475"/>
      <c r="O3" s="475"/>
    </row>
    <row r="4" spans="1:15" ht="22.5" customHeight="1" x14ac:dyDescent="0.3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 ht="22.5" customHeight="1" x14ac:dyDescent="0.3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x14ac:dyDescent="0.2">
      <c r="A6" s="474"/>
      <c r="B6" s="474"/>
      <c r="C6" s="473"/>
      <c r="D6" s="473"/>
      <c r="E6" s="473"/>
      <c r="F6" s="473"/>
      <c r="G6" s="473"/>
    </row>
    <row r="7" spans="1:15" s="472" customFormat="1" ht="135" customHeight="1" x14ac:dyDescent="0.2">
      <c r="A7" s="318" t="s">
        <v>1</v>
      </c>
      <c r="B7" s="463" t="s">
        <v>463</v>
      </c>
      <c r="C7" s="462" t="s">
        <v>462</v>
      </c>
      <c r="D7" s="461" t="s">
        <v>461</v>
      </c>
      <c r="E7" s="461" t="s">
        <v>460</v>
      </c>
      <c r="F7" s="461" t="s">
        <v>459</v>
      </c>
      <c r="G7" s="461" t="s">
        <v>458</v>
      </c>
      <c r="H7" s="461" t="s">
        <v>457</v>
      </c>
      <c r="I7" s="461" t="s">
        <v>456</v>
      </c>
      <c r="J7" s="461" t="s">
        <v>455</v>
      </c>
      <c r="K7" s="460" t="s">
        <v>454</v>
      </c>
      <c r="L7" s="471"/>
      <c r="M7" s="471"/>
      <c r="N7" s="471"/>
      <c r="O7" s="471"/>
    </row>
    <row r="8" spans="1:15" s="19" customFormat="1" ht="15.75" x14ac:dyDescent="0.25">
      <c r="A8" s="459"/>
      <c r="B8" s="458" t="s">
        <v>18</v>
      </c>
      <c r="C8" s="457" t="s">
        <v>453</v>
      </c>
      <c r="D8" s="457" t="s">
        <v>452</v>
      </c>
      <c r="E8" s="457" t="s">
        <v>451</v>
      </c>
      <c r="F8" s="457" t="s">
        <v>450</v>
      </c>
      <c r="G8" s="457"/>
      <c r="H8" s="457" t="s">
        <v>449</v>
      </c>
      <c r="I8" s="457" t="s">
        <v>448</v>
      </c>
      <c r="J8" s="457" t="s">
        <v>447</v>
      </c>
      <c r="K8" s="456"/>
      <c r="L8" s="471"/>
      <c r="M8" s="471"/>
      <c r="N8" s="471"/>
      <c r="O8" s="471"/>
    </row>
    <row r="9" spans="1:15" s="19" customFormat="1" ht="16.5" x14ac:dyDescent="0.25">
      <c r="A9" s="455" t="s">
        <v>446</v>
      </c>
      <c r="B9" s="454"/>
      <c r="C9" s="442"/>
      <c r="D9" s="442">
        <f t="shared" ref="D9:K9" si="0">D10+D12+D11</f>
        <v>17998</v>
      </c>
      <c r="E9" s="442">
        <f t="shared" si="0"/>
        <v>74979.668000000005</v>
      </c>
      <c r="F9" s="442">
        <f t="shared" si="0"/>
        <v>139466.50200000001</v>
      </c>
      <c r="G9" s="442">
        <f t="shared" si="0"/>
        <v>232444.17</v>
      </c>
      <c r="H9" s="442">
        <f t="shared" si="0"/>
        <v>232444.17</v>
      </c>
      <c r="I9" s="442">
        <f t="shared" si="0"/>
        <v>232444.17</v>
      </c>
      <c r="J9" s="442">
        <f t="shared" si="0"/>
        <v>70198.139339999994</v>
      </c>
      <c r="K9" s="436">
        <f t="shared" si="0"/>
        <v>3668100.9892007997</v>
      </c>
      <c r="L9" s="469"/>
      <c r="M9" s="469"/>
      <c r="N9" s="469"/>
      <c r="O9" s="469"/>
    </row>
    <row r="10" spans="1:15" s="19" customFormat="1" ht="15.75" x14ac:dyDescent="0.25">
      <c r="A10" s="453" t="s">
        <v>433</v>
      </c>
      <c r="B10" s="450">
        <v>1</v>
      </c>
      <c r="C10" s="440">
        <v>1</v>
      </c>
      <c r="D10" s="440">
        <v>6420</v>
      </c>
      <c r="E10" s="440">
        <f t="shared" ref="E10:E20" si="1">D10*4.166</f>
        <v>26745.72</v>
      </c>
      <c r="F10" s="440">
        <f t="shared" ref="F10:F20" si="2">(D10+E10)*1.5</f>
        <v>49748.58</v>
      </c>
      <c r="G10" s="440">
        <f t="shared" ref="G10:G20" si="3">D10+E10+F10</f>
        <v>82914.3</v>
      </c>
      <c r="H10" s="440">
        <f t="shared" ref="H10:H20" si="4">G10*C10</f>
        <v>82914.3</v>
      </c>
      <c r="I10" s="440">
        <f t="shared" ref="I10:I20" si="5">H10*B10</f>
        <v>82914.3</v>
      </c>
      <c r="J10" s="440">
        <f t="shared" ref="J10:J20" si="6">I10*0.302</f>
        <v>25040.118600000002</v>
      </c>
      <c r="K10" s="452">
        <f>K29+K47+76.2</f>
        <v>1308483.7534320001</v>
      </c>
      <c r="L10" s="470"/>
      <c r="M10" s="470"/>
      <c r="N10" s="470"/>
      <c r="O10" s="470"/>
    </row>
    <row r="11" spans="1:15" s="19" customFormat="1" ht="15.75" x14ac:dyDescent="0.25">
      <c r="A11" s="453" t="s">
        <v>432</v>
      </c>
      <c r="B11" s="450">
        <v>1</v>
      </c>
      <c r="C11" s="440">
        <v>1</v>
      </c>
      <c r="D11" s="440">
        <v>6040</v>
      </c>
      <c r="E11" s="440">
        <f t="shared" si="1"/>
        <v>25162.640000000003</v>
      </c>
      <c r="F11" s="440">
        <f t="shared" si="2"/>
        <v>46803.960000000006</v>
      </c>
      <c r="G11" s="440">
        <f t="shared" si="3"/>
        <v>78006.600000000006</v>
      </c>
      <c r="H11" s="440">
        <f t="shared" si="4"/>
        <v>78006.600000000006</v>
      </c>
      <c r="I11" s="440">
        <f t="shared" si="5"/>
        <v>78006.600000000006</v>
      </c>
      <c r="J11" s="440">
        <f t="shared" si="6"/>
        <v>23557.993200000001</v>
      </c>
      <c r="K11" s="452">
        <f t="shared" ref="K11:K20" si="7">K30+K48</f>
        <v>1230962.869584</v>
      </c>
      <c r="L11" s="470"/>
      <c r="M11" s="470"/>
      <c r="N11" s="470"/>
      <c r="O11" s="470"/>
    </row>
    <row r="12" spans="1:15" s="19" customFormat="1" ht="15.75" x14ac:dyDescent="0.25">
      <c r="A12" s="453" t="s">
        <v>431</v>
      </c>
      <c r="B12" s="450">
        <v>1</v>
      </c>
      <c r="C12" s="440">
        <v>1</v>
      </c>
      <c r="D12" s="440">
        <v>5538</v>
      </c>
      <c r="E12" s="440">
        <f t="shared" si="1"/>
        <v>23071.308000000001</v>
      </c>
      <c r="F12" s="440">
        <f t="shared" si="2"/>
        <v>42913.962</v>
      </c>
      <c r="G12" s="440">
        <f t="shared" si="3"/>
        <v>71523.27</v>
      </c>
      <c r="H12" s="440">
        <f t="shared" si="4"/>
        <v>71523.27</v>
      </c>
      <c r="I12" s="440">
        <f t="shared" si="5"/>
        <v>71523.27</v>
      </c>
      <c r="J12" s="440">
        <f t="shared" si="6"/>
        <v>21600.027539999999</v>
      </c>
      <c r="K12" s="452">
        <f t="shared" si="7"/>
        <v>1128654.3661847999</v>
      </c>
      <c r="L12" s="470"/>
      <c r="M12" s="470"/>
      <c r="N12" s="470"/>
      <c r="O12" s="470"/>
    </row>
    <row r="13" spans="1:15" s="19" customFormat="1" ht="16.5" x14ac:dyDescent="0.25">
      <c r="A13" s="451" t="s">
        <v>302</v>
      </c>
      <c r="B13" s="450">
        <v>1</v>
      </c>
      <c r="C13" s="440">
        <v>1</v>
      </c>
      <c r="D13" s="440">
        <v>5538</v>
      </c>
      <c r="E13" s="440">
        <f t="shared" si="1"/>
        <v>23071.308000000001</v>
      </c>
      <c r="F13" s="440">
        <f t="shared" si="2"/>
        <v>42913.962</v>
      </c>
      <c r="G13" s="440">
        <f t="shared" si="3"/>
        <v>71523.27</v>
      </c>
      <c r="H13" s="440">
        <f t="shared" si="4"/>
        <v>71523.27</v>
      </c>
      <c r="I13" s="440">
        <f t="shared" si="5"/>
        <v>71523.27</v>
      </c>
      <c r="J13" s="440">
        <f t="shared" si="6"/>
        <v>21600.027539999999</v>
      </c>
      <c r="K13" s="452">
        <f t="shared" si="7"/>
        <v>1128654.3661847999</v>
      </c>
      <c r="L13" s="470"/>
      <c r="M13" s="470"/>
      <c r="N13" s="470"/>
      <c r="O13" s="470"/>
    </row>
    <row r="14" spans="1:15" s="19" customFormat="1" ht="16.5" x14ac:dyDescent="0.25">
      <c r="A14" s="451" t="s">
        <v>299</v>
      </c>
      <c r="B14" s="450">
        <v>1</v>
      </c>
      <c r="C14" s="440">
        <v>0.5</v>
      </c>
      <c r="D14" s="440">
        <v>5538</v>
      </c>
      <c r="E14" s="440">
        <f t="shared" si="1"/>
        <v>23071.308000000001</v>
      </c>
      <c r="F14" s="440">
        <f t="shared" si="2"/>
        <v>42913.962</v>
      </c>
      <c r="G14" s="440">
        <f t="shared" si="3"/>
        <v>71523.27</v>
      </c>
      <c r="H14" s="440">
        <f t="shared" si="4"/>
        <v>35761.635000000002</v>
      </c>
      <c r="I14" s="440">
        <f t="shared" si="5"/>
        <v>35761.635000000002</v>
      </c>
      <c r="J14" s="440">
        <f t="shared" si="6"/>
        <v>10800.01377</v>
      </c>
      <c r="K14" s="452">
        <f t="shared" si="7"/>
        <v>564327.18309239997</v>
      </c>
      <c r="L14" s="470"/>
      <c r="M14" s="470"/>
      <c r="N14" s="470"/>
      <c r="O14" s="470"/>
    </row>
    <row r="15" spans="1:15" s="19" customFormat="1" ht="16.5" x14ac:dyDescent="0.25">
      <c r="A15" s="451" t="s">
        <v>300</v>
      </c>
      <c r="B15" s="450">
        <v>1</v>
      </c>
      <c r="C15" s="440">
        <v>0.5</v>
      </c>
      <c r="D15" s="440">
        <v>5538</v>
      </c>
      <c r="E15" s="440">
        <f t="shared" si="1"/>
        <v>23071.308000000001</v>
      </c>
      <c r="F15" s="440">
        <f t="shared" si="2"/>
        <v>42913.962</v>
      </c>
      <c r="G15" s="440">
        <f t="shared" si="3"/>
        <v>71523.27</v>
      </c>
      <c r="H15" s="440">
        <f t="shared" si="4"/>
        <v>35761.635000000002</v>
      </c>
      <c r="I15" s="440">
        <f t="shared" si="5"/>
        <v>35761.635000000002</v>
      </c>
      <c r="J15" s="440">
        <f t="shared" si="6"/>
        <v>10800.01377</v>
      </c>
      <c r="K15" s="452">
        <f t="shared" si="7"/>
        <v>564327.18309239997</v>
      </c>
      <c r="L15" s="470"/>
      <c r="M15" s="470"/>
      <c r="N15" s="470"/>
      <c r="O15" s="470"/>
    </row>
    <row r="16" spans="1:15" s="19" customFormat="1" ht="16.5" x14ac:dyDescent="0.25">
      <c r="A16" s="451" t="s">
        <v>298</v>
      </c>
      <c r="B16" s="450">
        <v>1</v>
      </c>
      <c r="C16" s="440">
        <v>0.5</v>
      </c>
      <c r="D16" s="440">
        <v>5538</v>
      </c>
      <c r="E16" s="440">
        <f t="shared" si="1"/>
        <v>23071.308000000001</v>
      </c>
      <c r="F16" s="440">
        <f t="shared" si="2"/>
        <v>42913.962</v>
      </c>
      <c r="G16" s="440">
        <f t="shared" si="3"/>
        <v>71523.27</v>
      </c>
      <c r="H16" s="440">
        <f t="shared" si="4"/>
        <v>35761.635000000002</v>
      </c>
      <c r="I16" s="440">
        <f t="shared" si="5"/>
        <v>35761.635000000002</v>
      </c>
      <c r="J16" s="440">
        <f t="shared" si="6"/>
        <v>10800.01377</v>
      </c>
      <c r="K16" s="452">
        <f t="shared" si="7"/>
        <v>564327.18309239997</v>
      </c>
      <c r="L16" s="470"/>
      <c r="M16" s="470"/>
      <c r="N16" s="470"/>
      <c r="O16" s="470"/>
    </row>
    <row r="17" spans="1:15" s="19" customFormat="1" ht="16.5" x14ac:dyDescent="0.25">
      <c r="A17" s="451" t="s">
        <v>296</v>
      </c>
      <c r="B17" s="450">
        <v>1</v>
      </c>
      <c r="C17" s="440">
        <v>0.5</v>
      </c>
      <c r="D17" s="440">
        <v>5538</v>
      </c>
      <c r="E17" s="440">
        <f t="shared" si="1"/>
        <v>23071.308000000001</v>
      </c>
      <c r="F17" s="440">
        <f t="shared" si="2"/>
        <v>42913.962</v>
      </c>
      <c r="G17" s="440">
        <f t="shared" si="3"/>
        <v>71523.27</v>
      </c>
      <c r="H17" s="440">
        <f t="shared" si="4"/>
        <v>35761.635000000002</v>
      </c>
      <c r="I17" s="440">
        <f t="shared" si="5"/>
        <v>35761.635000000002</v>
      </c>
      <c r="J17" s="440">
        <f t="shared" si="6"/>
        <v>10800.01377</v>
      </c>
      <c r="K17" s="452">
        <f t="shared" si="7"/>
        <v>564327.18309239997</v>
      </c>
      <c r="L17" s="470"/>
      <c r="M17" s="470"/>
      <c r="N17" s="470"/>
      <c r="O17" s="470"/>
    </row>
    <row r="18" spans="1:15" s="19" customFormat="1" ht="16.5" x14ac:dyDescent="0.25">
      <c r="A18" s="451" t="s">
        <v>297</v>
      </c>
      <c r="B18" s="450">
        <v>1</v>
      </c>
      <c r="C18" s="440">
        <v>0.5</v>
      </c>
      <c r="D18" s="440">
        <v>5538</v>
      </c>
      <c r="E18" s="440">
        <f t="shared" si="1"/>
        <v>23071.308000000001</v>
      </c>
      <c r="F18" s="440">
        <f t="shared" si="2"/>
        <v>42913.962</v>
      </c>
      <c r="G18" s="440">
        <f t="shared" si="3"/>
        <v>71523.27</v>
      </c>
      <c r="H18" s="440">
        <f t="shared" si="4"/>
        <v>35761.635000000002</v>
      </c>
      <c r="I18" s="440">
        <f t="shared" si="5"/>
        <v>35761.635000000002</v>
      </c>
      <c r="J18" s="440">
        <f t="shared" si="6"/>
        <v>10800.01377</v>
      </c>
      <c r="K18" s="452">
        <f t="shared" si="7"/>
        <v>564327.18309239997</v>
      </c>
      <c r="L18" s="470"/>
      <c r="M18" s="470"/>
      <c r="N18" s="470"/>
      <c r="O18" s="470"/>
    </row>
    <row r="19" spans="1:15" s="19" customFormat="1" ht="16.5" x14ac:dyDescent="0.25">
      <c r="A19" s="451" t="s">
        <v>295</v>
      </c>
      <c r="B19" s="450">
        <v>1</v>
      </c>
      <c r="C19" s="449">
        <v>1</v>
      </c>
      <c r="D19" s="440">
        <v>5538</v>
      </c>
      <c r="E19" s="440">
        <f t="shared" si="1"/>
        <v>23071.308000000001</v>
      </c>
      <c r="F19" s="440">
        <f t="shared" si="2"/>
        <v>42913.962</v>
      </c>
      <c r="G19" s="440">
        <f t="shared" si="3"/>
        <v>71523.27</v>
      </c>
      <c r="H19" s="440">
        <f t="shared" si="4"/>
        <v>71523.27</v>
      </c>
      <c r="I19" s="440">
        <f t="shared" si="5"/>
        <v>71523.27</v>
      </c>
      <c r="J19" s="440">
        <f t="shared" si="6"/>
        <v>21600.027539999999</v>
      </c>
      <c r="K19" s="452">
        <f t="shared" si="7"/>
        <v>1128654.3661847999</v>
      </c>
      <c r="L19" s="470"/>
      <c r="M19" s="470"/>
      <c r="N19" s="470"/>
      <c r="O19" s="470"/>
    </row>
    <row r="20" spans="1:15" s="19" customFormat="1" ht="16.5" x14ac:dyDescent="0.25">
      <c r="A20" s="451" t="s">
        <v>301</v>
      </c>
      <c r="B20" s="450">
        <v>1</v>
      </c>
      <c r="C20" s="449">
        <v>1</v>
      </c>
      <c r="D20" s="440">
        <v>5538</v>
      </c>
      <c r="E20" s="440">
        <f t="shared" si="1"/>
        <v>23071.308000000001</v>
      </c>
      <c r="F20" s="440">
        <f t="shared" si="2"/>
        <v>42913.962</v>
      </c>
      <c r="G20" s="440">
        <f t="shared" si="3"/>
        <v>71523.27</v>
      </c>
      <c r="H20" s="440">
        <f t="shared" si="4"/>
        <v>71523.27</v>
      </c>
      <c r="I20" s="440">
        <f t="shared" si="5"/>
        <v>71523.27</v>
      </c>
      <c r="J20" s="440">
        <f t="shared" si="6"/>
        <v>21600.027539999999</v>
      </c>
      <c r="K20" s="452">
        <f t="shared" si="7"/>
        <v>1128654.3661847999</v>
      </c>
      <c r="L20" s="470"/>
      <c r="M20" s="470"/>
      <c r="N20" s="470"/>
      <c r="O20" s="470"/>
    </row>
    <row r="21" spans="1:15" s="19" customFormat="1" ht="15.75" x14ac:dyDescent="0.25">
      <c r="A21" s="448" t="s">
        <v>7</v>
      </c>
      <c r="B21" s="447">
        <f>SUM(B10:B20)</f>
        <v>11</v>
      </c>
      <c r="C21" s="447">
        <f>SUM(C10:C20)</f>
        <v>8.5</v>
      </c>
      <c r="D21" s="447">
        <f>SUM(D13:D20)+D9</f>
        <v>62302</v>
      </c>
      <c r="E21" s="447">
        <f>SUM(E13:E20)+E9</f>
        <v>259550.13199999998</v>
      </c>
      <c r="F21" s="447">
        <f>SUM(F13:F20)+F9</f>
        <v>482778.19799999997</v>
      </c>
      <c r="G21" s="447">
        <f>SUM(G13:G20)+G9</f>
        <v>804630.33000000007</v>
      </c>
      <c r="H21" s="447">
        <f>SUM(H13:H20)+H9</f>
        <v>625822.15500000003</v>
      </c>
      <c r="I21" s="465">
        <f>I9+I13+I14+I15+I16+I17+I18+I19+I20</f>
        <v>625822.15500000003</v>
      </c>
      <c r="J21" s="465">
        <f>J9+J13+J14+J15+J16+J17+J18+J19+J20</f>
        <v>188998.29081000001</v>
      </c>
      <c r="K21" s="559">
        <f>K9+K13+K14+K15+K16+K17+K18+K19+K20</f>
        <v>9875700.0032172017</v>
      </c>
      <c r="L21" s="469"/>
      <c r="M21" s="469"/>
      <c r="N21" s="469"/>
      <c r="O21" s="469"/>
    </row>
    <row r="22" spans="1:15" x14ac:dyDescent="0.2">
      <c r="A22" s="1"/>
      <c r="B22" s="1"/>
      <c r="C22" s="1"/>
      <c r="D22" s="1"/>
      <c r="E22" s="1"/>
      <c r="F22" s="1"/>
      <c r="G22" s="1"/>
      <c r="H22" s="468">
        <f>H21*9</f>
        <v>5632399.3950000005</v>
      </c>
      <c r="I22" s="468">
        <f>I21*9</f>
        <v>5632399.3950000005</v>
      </c>
      <c r="J22" s="468">
        <f>J21*9</f>
        <v>1700984.61729</v>
      </c>
      <c r="K22" s="1"/>
    </row>
    <row r="23" spans="1:15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67"/>
      <c r="M23" s="467"/>
      <c r="N23" s="467"/>
      <c r="O23" s="467"/>
    </row>
    <row r="24" spans="1:15" ht="16.5" customHeight="1" x14ac:dyDescent="0.25">
      <c r="A24" s="464"/>
      <c r="B24" s="464"/>
      <c r="C24" s="750" t="s">
        <v>465</v>
      </c>
      <c r="D24" s="750"/>
      <c r="E24" s="750"/>
      <c r="F24" s="750"/>
      <c r="G24" s="750"/>
      <c r="H24" s="750"/>
      <c r="I24" s="750"/>
      <c r="J24" s="750"/>
      <c r="K24" s="750"/>
    </row>
    <row r="25" spans="1:15" x14ac:dyDescent="0.2">
      <c r="A25" s="464"/>
      <c r="B25" s="464"/>
      <c r="C25" s="464"/>
      <c r="D25" s="464"/>
      <c r="E25" s="464"/>
      <c r="F25" s="464"/>
      <c r="G25" s="464"/>
      <c r="H25" s="464"/>
      <c r="I25" s="464"/>
      <c r="J25" s="464"/>
      <c r="K25" s="464"/>
    </row>
    <row r="26" spans="1:15" ht="127.5" x14ac:dyDescent="0.2">
      <c r="A26" s="318" t="s">
        <v>1</v>
      </c>
      <c r="B26" s="463" t="s">
        <v>463</v>
      </c>
      <c r="C26" s="462" t="s">
        <v>462</v>
      </c>
      <c r="D26" s="461" t="s">
        <v>461</v>
      </c>
      <c r="E26" s="461" t="s">
        <v>460</v>
      </c>
      <c r="F26" s="461" t="s">
        <v>459</v>
      </c>
      <c r="G26" s="461" t="s">
        <v>458</v>
      </c>
      <c r="H26" s="461" t="s">
        <v>457</v>
      </c>
      <c r="I26" s="461" t="s">
        <v>456</v>
      </c>
      <c r="J26" s="461" t="s">
        <v>455</v>
      </c>
      <c r="K26" s="460" t="s">
        <v>454</v>
      </c>
    </row>
    <row r="27" spans="1:15" ht="15.75" hidden="1" x14ac:dyDescent="0.25">
      <c r="A27" s="459"/>
      <c r="B27" s="458" t="s">
        <v>18</v>
      </c>
      <c r="C27" s="457" t="s">
        <v>453</v>
      </c>
      <c r="D27" s="457" t="s">
        <v>452</v>
      </c>
      <c r="E27" s="457" t="s">
        <v>451</v>
      </c>
      <c r="F27" s="457" t="s">
        <v>450</v>
      </c>
      <c r="G27" s="457"/>
      <c r="H27" s="457" t="s">
        <v>449</v>
      </c>
      <c r="I27" s="457" t="s">
        <v>448</v>
      </c>
      <c r="J27" s="457" t="s">
        <v>447</v>
      </c>
      <c r="K27" s="456"/>
    </row>
    <row r="28" spans="1:15" ht="16.5" hidden="1" x14ac:dyDescent="0.2">
      <c r="A28" s="455" t="s">
        <v>446</v>
      </c>
      <c r="B28" s="454"/>
      <c r="C28" s="442"/>
      <c r="D28" s="442">
        <f t="shared" ref="D28:K28" si="8">D29+D31+D30</f>
        <v>17998</v>
      </c>
      <c r="E28" s="442">
        <f t="shared" si="8"/>
        <v>74979.668000000005</v>
      </c>
      <c r="F28" s="442">
        <f t="shared" si="8"/>
        <v>139466.50200000001</v>
      </c>
      <c r="G28" s="442">
        <f t="shared" si="8"/>
        <v>232444.17</v>
      </c>
      <c r="H28" s="442">
        <f t="shared" si="8"/>
        <v>232444.17</v>
      </c>
      <c r="I28" s="442">
        <f t="shared" si="8"/>
        <v>232444.17</v>
      </c>
      <c r="J28" s="442">
        <f t="shared" si="8"/>
        <v>70198.139339999994</v>
      </c>
      <c r="K28" s="436">
        <f t="shared" si="8"/>
        <v>2723780.78406</v>
      </c>
    </row>
    <row r="29" spans="1:15" hidden="1" x14ac:dyDescent="0.2">
      <c r="A29" s="453" t="s">
        <v>433</v>
      </c>
      <c r="B29" s="450">
        <v>1</v>
      </c>
      <c r="C29" s="440">
        <v>1</v>
      </c>
      <c r="D29" s="440">
        <v>6420</v>
      </c>
      <c r="E29" s="440">
        <f t="shared" ref="E29:E39" si="9">D29*4.166</f>
        <v>26745.72</v>
      </c>
      <c r="F29" s="440">
        <f t="shared" ref="F29:F39" si="10">(D29+E29)*1.5</f>
        <v>49748.58</v>
      </c>
      <c r="G29" s="440">
        <f t="shared" ref="G29:G39" si="11">D29+E29+F29</f>
        <v>82914.3</v>
      </c>
      <c r="H29" s="440">
        <f t="shared" ref="H29:H39" si="12">G29*C29</f>
        <v>82914.3</v>
      </c>
      <c r="I29" s="440">
        <f t="shared" ref="I29:I39" si="13">H29*B29</f>
        <v>82914.3</v>
      </c>
      <c r="J29" s="440">
        <f t="shared" ref="J29:J39" si="14">I29*0.302</f>
        <v>25040.118600000002</v>
      </c>
      <c r="K29" s="452">
        <f t="shared" ref="K29:K39" si="15">(I29+J29)*9</f>
        <v>971589.76740000001</v>
      </c>
    </row>
    <row r="30" spans="1:15" x14ac:dyDescent="0.2">
      <c r="A30" s="453" t="s">
        <v>432</v>
      </c>
      <c r="B30" s="450">
        <v>1</v>
      </c>
      <c r="C30" s="440">
        <v>1</v>
      </c>
      <c r="D30" s="440">
        <v>6040</v>
      </c>
      <c r="E30" s="440">
        <f t="shared" si="9"/>
        <v>25162.640000000003</v>
      </c>
      <c r="F30" s="440">
        <f t="shared" si="10"/>
        <v>46803.960000000006</v>
      </c>
      <c r="G30" s="440">
        <f t="shared" si="11"/>
        <v>78006.600000000006</v>
      </c>
      <c r="H30" s="440">
        <f t="shared" si="12"/>
        <v>78006.600000000006</v>
      </c>
      <c r="I30" s="440">
        <f t="shared" si="13"/>
        <v>78006.600000000006</v>
      </c>
      <c r="J30" s="440">
        <f t="shared" si="14"/>
        <v>23557.993200000001</v>
      </c>
      <c r="K30" s="452">
        <f t="shared" si="15"/>
        <v>914081.33880000003</v>
      </c>
    </row>
    <row r="31" spans="1:15" x14ac:dyDescent="0.2">
      <c r="A31" s="453" t="s">
        <v>431</v>
      </c>
      <c r="B31" s="450">
        <v>1</v>
      </c>
      <c r="C31" s="440">
        <v>1</v>
      </c>
      <c r="D31" s="440">
        <v>5538</v>
      </c>
      <c r="E31" s="440">
        <f t="shared" si="9"/>
        <v>23071.308000000001</v>
      </c>
      <c r="F31" s="440">
        <f t="shared" si="10"/>
        <v>42913.962</v>
      </c>
      <c r="G31" s="440">
        <f t="shared" si="11"/>
        <v>71523.27</v>
      </c>
      <c r="H31" s="440">
        <f t="shared" si="12"/>
        <v>71523.27</v>
      </c>
      <c r="I31" s="440">
        <f t="shared" si="13"/>
        <v>71523.27</v>
      </c>
      <c r="J31" s="440">
        <f t="shared" si="14"/>
        <v>21600.027539999999</v>
      </c>
      <c r="K31" s="452">
        <f t="shared" si="15"/>
        <v>838109.67785999994</v>
      </c>
    </row>
    <row r="32" spans="1:15" ht="16.5" x14ac:dyDescent="0.2">
      <c r="A32" s="451" t="s">
        <v>302</v>
      </c>
      <c r="B32" s="450">
        <v>1</v>
      </c>
      <c r="C32" s="440">
        <v>1</v>
      </c>
      <c r="D32" s="440">
        <v>5538</v>
      </c>
      <c r="E32" s="440">
        <f t="shared" si="9"/>
        <v>23071.308000000001</v>
      </c>
      <c r="F32" s="440">
        <f t="shared" si="10"/>
        <v>42913.962</v>
      </c>
      <c r="G32" s="440">
        <f t="shared" si="11"/>
        <v>71523.27</v>
      </c>
      <c r="H32" s="440">
        <f t="shared" si="12"/>
        <v>71523.27</v>
      </c>
      <c r="I32" s="440">
        <f t="shared" si="13"/>
        <v>71523.27</v>
      </c>
      <c r="J32" s="440">
        <f t="shared" si="14"/>
        <v>21600.027539999999</v>
      </c>
      <c r="K32" s="452">
        <f t="shared" si="15"/>
        <v>838109.67785999994</v>
      </c>
    </row>
    <row r="33" spans="1:11" ht="16.5" x14ac:dyDescent="0.2">
      <c r="A33" s="451" t="s">
        <v>299</v>
      </c>
      <c r="B33" s="450">
        <v>1</v>
      </c>
      <c r="C33" s="440">
        <v>0.5</v>
      </c>
      <c r="D33" s="440">
        <v>5538</v>
      </c>
      <c r="E33" s="440">
        <f t="shared" si="9"/>
        <v>23071.308000000001</v>
      </c>
      <c r="F33" s="440">
        <f t="shared" si="10"/>
        <v>42913.962</v>
      </c>
      <c r="G33" s="440">
        <f t="shared" si="11"/>
        <v>71523.27</v>
      </c>
      <c r="H33" s="440">
        <f t="shared" si="12"/>
        <v>35761.635000000002</v>
      </c>
      <c r="I33" s="440">
        <f t="shared" si="13"/>
        <v>35761.635000000002</v>
      </c>
      <c r="J33" s="440">
        <f t="shared" si="14"/>
        <v>10800.01377</v>
      </c>
      <c r="K33" s="452">
        <f t="shared" si="15"/>
        <v>419054.83892999997</v>
      </c>
    </row>
    <row r="34" spans="1:11" ht="16.5" x14ac:dyDescent="0.2">
      <c r="A34" s="451" t="s">
        <v>300</v>
      </c>
      <c r="B34" s="450">
        <v>1</v>
      </c>
      <c r="C34" s="440">
        <v>0.5</v>
      </c>
      <c r="D34" s="440">
        <v>5538</v>
      </c>
      <c r="E34" s="440">
        <f t="shared" si="9"/>
        <v>23071.308000000001</v>
      </c>
      <c r="F34" s="440">
        <f t="shared" si="10"/>
        <v>42913.962</v>
      </c>
      <c r="G34" s="440">
        <f t="shared" si="11"/>
        <v>71523.27</v>
      </c>
      <c r="H34" s="440">
        <f t="shared" si="12"/>
        <v>35761.635000000002</v>
      </c>
      <c r="I34" s="440">
        <f t="shared" si="13"/>
        <v>35761.635000000002</v>
      </c>
      <c r="J34" s="440">
        <f t="shared" si="14"/>
        <v>10800.01377</v>
      </c>
      <c r="K34" s="452">
        <f t="shared" si="15"/>
        <v>419054.83892999997</v>
      </c>
    </row>
    <row r="35" spans="1:11" ht="16.5" x14ac:dyDescent="0.2">
      <c r="A35" s="451" t="s">
        <v>298</v>
      </c>
      <c r="B35" s="450">
        <v>1</v>
      </c>
      <c r="C35" s="440">
        <v>0.5</v>
      </c>
      <c r="D35" s="440">
        <v>5538</v>
      </c>
      <c r="E35" s="440">
        <f t="shared" si="9"/>
        <v>23071.308000000001</v>
      </c>
      <c r="F35" s="440">
        <f t="shared" si="10"/>
        <v>42913.962</v>
      </c>
      <c r="G35" s="440">
        <f t="shared" si="11"/>
        <v>71523.27</v>
      </c>
      <c r="H35" s="440">
        <f t="shared" si="12"/>
        <v>35761.635000000002</v>
      </c>
      <c r="I35" s="440">
        <f t="shared" si="13"/>
        <v>35761.635000000002</v>
      </c>
      <c r="J35" s="440">
        <f t="shared" si="14"/>
        <v>10800.01377</v>
      </c>
      <c r="K35" s="452">
        <f t="shared" si="15"/>
        <v>419054.83892999997</v>
      </c>
    </row>
    <row r="36" spans="1:11" ht="16.5" x14ac:dyDescent="0.2">
      <c r="A36" s="451" t="s">
        <v>296</v>
      </c>
      <c r="B36" s="450">
        <v>1</v>
      </c>
      <c r="C36" s="440">
        <v>0.5</v>
      </c>
      <c r="D36" s="440">
        <v>5538</v>
      </c>
      <c r="E36" s="440">
        <f t="shared" si="9"/>
        <v>23071.308000000001</v>
      </c>
      <c r="F36" s="440">
        <f t="shared" si="10"/>
        <v>42913.962</v>
      </c>
      <c r="G36" s="440">
        <f t="shared" si="11"/>
        <v>71523.27</v>
      </c>
      <c r="H36" s="440">
        <f t="shared" si="12"/>
        <v>35761.635000000002</v>
      </c>
      <c r="I36" s="440">
        <f t="shared" si="13"/>
        <v>35761.635000000002</v>
      </c>
      <c r="J36" s="440">
        <f t="shared" si="14"/>
        <v>10800.01377</v>
      </c>
      <c r="K36" s="452">
        <f t="shared" si="15"/>
        <v>419054.83892999997</v>
      </c>
    </row>
    <row r="37" spans="1:11" ht="16.5" x14ac:dyDescent="0.2">
      <c r="A37" s="451" t="s">
        <v>297</v>
      </c>
      <c r="B37" s="450">
        <v>1</v>
      </c>
      <c r="C37" s="440">
        <v>0.5</v>
      </c>
      <c r="D37" s="440">
        <v>5538</v>
      </c>
      <c r="E37" s="440">
        <f t="shared" si="9"/>
        <v>23071.308000000001</v>
      </c>
      <c r="F37" s="440">
        <f t="shared" si="10"/>
        <v>42913.962</v>
      </c>
      <c r="G37" s="440">
        <f t="shared" si="11"/>
        <v>71523.27</v>
      </c>
      <c r="H37" s="440">
        <f t="shared" si="12"/>
        <v>35761.635000000002</v>
      </c>
      <c r="I37" s="440">
        <f t="shared" si="13"/>
        <v>35761.635000000002</v>
      </c>
      <c r="J37" s="440">
        <f t="shared" si="14"/>
        <v>10800.01377</v>
      </c>
      <c r="K37" s="452">
        <f t="shared" si="15"/>
        <v>419054.83892999997</v>
      </c>
    </row>
    <row r="38" spans="1:11" s="466" customFormat="1" ht="20.25" customHeight="1" x14ac:dyDescent="0.2">
      <c r="A38" s="451" t="s">
        <v>295</v>
      </c>
      <c r="B38" s="450">
        <v>1</v>
      </c>
      <c r="C38" s="449">
        <v>1</v>
      </c>
      <c r="D38" s="440">
        <v>5538</v>
      </c>
      <c r="E38" s="440">
        <f t="shared" si="9"/>
        <v>23071.308000000001</v>
      </c>
      <c r="F38" s="440">
        <f t="shared" si="10"/>
        <v>42913.962</v>
      </c>
      <c r="G38" s="440">
        <f t="shared" si="11"/>
        <v>71523.27</v>
      </c>
      <c r="H38" s="440">
        <f t="shared" si="12"/>
        <v>71523.27</v>
      </c>
      <c r="I38" s="440">
        <f t="shared" si="13"/>
        <v>71523.27</v>
      </c>
      <c r="J38" s="440">
        <f t="shared" si="14"/>
        <v>21600.027539999999</v>
      </c>
      <c r="K38" s="452">
        <f t="shared" si="15"/>
        <v>838109.67785999994</v>
      </c>
    </row>
    <row r="39" spans="1:11" ht="16.5" x14ac:dyDescent="0.2">
      <c r="A39" s="451" t="s">
        <v>301</v>
      </c>
      <c r="B39" s="450">
        <v>1</v>
      </c>
      <c r="C39" s="449">
        <v>1</v>
      </c>
      <c r="D39" s="440">
        <v>5538</v>
      </c>
      <c r="E39" s="440">
        <f t="shared" si="9"/>
        <v>23071.308000000001</v>
      </c>
      <c r="F39" s="440">
        <f t="shared" si="10"/>
        <v>42913.962</v>
      </c>
      <c r="G39" s="440">
        <f t="shared" si="11"/>
        <v>71523.27</v>
      </c>
      <c r="H39" s="440">
        <f t="shared" si="12"/>
        <v>71523.27</v>
      </c>
      <c r="I39" s="440">
        <f t="shared" si="13"/>
        <v>71523.27</v>
      </c>
      <c r="J39" s="440">
        <f t="shared" si="14"/>
        <v>21600.027539999999</v>
      </c>
      <c r="K39" s="452">
        <f t="shared" si="15"/>
        <v>838109.67785999994</v>
      </c>
    </row>
    <row r="40" spans="1:11" x14ac:dyDescent="0.2">
      <c r="A40" s="448" t="s">
        <v>7</v>
      </c>
      <c r="B40" s="447">
        <f>SUM(B29:B39)</f>
        <v>11</v>
      </c>
      <c r="C40" s="447">
        <f>SUM(C29:C39)</f>
        <v>8.5</v>
      </c>
      <c r="D40" s="447">
        <f>SUM(D32:D39)+D28</f>
        <v>62302</v>
      </c>
      <c r="E40" s="447">
        <f>SUM(E32:E39)+E28</f>
        <v>259550.13199999998</v>
      </c>
      <c r="F40" s="447">
        <f>SUM(F32:F39)+F28</f>
        <v>482778.19799999997</v>
      </c>
      <c r="G40" s="447">
        <f>SUM(G32:G39)+G28</f>
        <v>804630.33000000007</v>
      </c>
      <c r="H40" s="447">
        <f>SUM(H32:H39)+H28</f>
        <v>625822.15500000003</v>
      </c>
      <c r="I40" s="465">
        <f>I28+I32+I33+I34+I35+I36+I37+I38+I39</f>
        <v>625822.15500000003</v>
      </c>
      <c r="J40" s="465">
        <f>J28+J32+J33+J34+J35+J36+J37+J38+J39</f>
        <v>188998.29081000001</v>
      </c>
      <c r="K40" s="452">
        <f>K28+K32+K33+K34+K35+K36+K37+K38+K39</f>
        <v>7333384.0122899991</v>
      </c>
    </row>
    <row r="41" spans="1:11" x14ac:dyDescent="0.2">
      <c r="A41" s="464"/>
      <c r="B41" s="464"/>
      <c r="C41" s="464"/>
      <c r="D41" s="464"/>
      <c r="E41" s="464"/>
      <c r="F41" s="464"/>
      <c r="G41" s="464"/>
      <c r="H41" s="464"/>
      <c r="I41" s="464"/>
      <c r="J41" s="464"/>
      <c r="K41" s="464"/>
    </row>
    <row r="42" spans="1:11" x14ac:dyDescent="0.2">
      <c r="A42" s="464"/>
      <c r="B42" s="464"/>
      <c r="C42" s="464"/>
      <c r="D42" s="464"/>
      <c r="E42" s="464"/>
      <c r="F42" s="464"/>
      <c r="G42" s="464"/>
      <c r="H42" s="464"/>
      <c r="I42" s="464"/>
      <c r="J42" s="464"/>
      <c r="K42" s="464"/>
    </row>
    <row r="43" spans="1:11" ht="15.75" x14ac:dyDescent="0.25">
      <c r="A43" s="464"/>
      <c r="B43" s="464"/>
      <c r="C43" s="750" t="s">
        <v>464</v>
      </c>
      <c r="D43" s="750"/>
      <c r="E43" s="750"/>
      <c r="F43" s="750"/>
      <c r="G43" s="750"/>
      <c r="H43" s="750"/>
      <c r="I43" s="750"/>
      <c r="J43" s="750"/>
      <c r="K43" s="750"/>
    </row>
    <row r="44" spans="1:11" ht="127.5" x14ac:dyDescent="0.2">
      <c r="A44" s="318" t="s">
        <v>1</v>
      </c>
      <c r="B44" s="463" t="s">
        <v>463</v>
      </c>
      <c r="C44" s="462" t="s">
        <v>462</v>
      </c>
      <c r="D44" s="461" t="s">
        <v>461</v>
      </c>
      <c r="E44" s="461" t="s">
        <v>460</v>
      </c>
      <c r="F44" s="461" t="s">
        <v>459</v>
      </c>
      <c r="G44" s="461" t="s">
        <v>458</v>
      </c>
      <c r="H44" s="461" t="s">
        <v>457</v>
      </c>
      <c r="I44" s="461" t="s">
        <v>456</v>
      </c>
      <c r="J44" s="461" t="s">
        <v>455</v>
      </c>
      <c r="K44" s="460" t="s">
        <v>454</v>
      </c>
    </row>
    <row r="45" spans="1:11" ht="15.75" x14ac:dyDescent="0.25">
      <c r="A45" s="459"/>
      <c r="B45" s="458" t="s">
        <v>18</v>
      </c>
      <c r="C45" s="457" t="s">
        <v>453</v>
      </c>
      <c r="D45" s="457" t="s">
        <v>452</v>
      </c>
      <c r="E45" s="457" t="s">
        <v>451</v>
      </c>
      <c r="F45" s="457" t="s">
        <v>450</v>
      </c>
      <c r="G45" s="457"/>
      <c r="H45" s="457" t="s">
        <v>449</v>
      </c>
      <c r="I45" s="457" t="s">
        <v>448</v>
      </c>
      <c r="J45" s="457" t="s">
        <v>447</v>
      </c>
      <c r="K45" s="456"/>
    </row>
    <row r="46" spans="1:11" ht="16.5" x14ac:dyDescent="0.2">
      <c r="A46" s="455" t="s">
        <v>446</v>
      </c>
      <c r="B46" s="454"/>
      <c r="C46" s="442"/>
      <c r="D46" s="442">
        <f t="shared" ref="D46:K46" si="16">D47+D49+D48</f>
        <v>18717.919999999998</v>
      </c>
      <c r="E46" s="442">
        <f t="shared" si="16"/>
        <v>77978.854720000003</v>
      </c>
      <c r="F46" s="442">
        <f t="shared" si="16"/>
        <v>145045.16208000004</v>
      </c>
      <c r="G46" s="442">
        <f t="shared" si="16"/>
        <v>241741.93680000002</v>
      </c>
      <c r="H46" s="442">
        <f t="shared" si="16"/>
        <v>241741.93680000002</v>
      </c>
      <c r="I46" s="442">
        <f t="shared" si="16"/>
        <v>241741.93680000002</v>
      </c>
      <c r="J46" s="442">
        <f t="shared" si="16"/>
        <v>73006.064913600014</v>
      </c>
      <c r="K46" s="436">
        <f t="shared" si="16"/>
        <v>944244.00514080003</v>
      </c>
    </row>
    <row r="47" spans="1:11" x14ac:dyDescent="0.2">
      <c r="A47" s="453" t="s">
        <v>433</v>
      </c>
      <c r="B47" s="450">
        <v>1</v>
      </c>
      <c r="C47" s="440">
        <v>1</v>
      </c>
      <c r="D47" s="440">
        <f>6420*1.04</f>
        <v>6676.8</v>
      </c>
      <c r="E47" s="440">
        <f t="shared" ref="E47:E57" si="17">D47*4.166</f>
        <v>27815.548800000004</v>
      </c>
      <c r="F47" s="440">
        <f t="shared" ref="F47:F57" si="18">(D47+E47)*1.5</f>
        <v>51738.523200000011</v>
      </c>
      <c r="G47" s="440">
        <f t="shared" ref="G47:G57" si="19">D47+E47+F47</f>
        <v>86230.872000000018</v>
      </c>
      <c r="H47" s="440">
        <f t="shared" ref="H47:H57" si="20">G47*C47</f>
        <v>86230.872000000018</v>
      </c>
      <c r="I47" s="440">
        <f t="shared" ref="I47:I57" si="21">H47*B47</f>
        <v>86230.872000000018</v>
      </c>
      <c r="J47" s="440">
        <f t="shared" ref="J47:J57" si="22">I47*0.302</f>
        <v>26041.723344000005</v>
      </c>
      <c r="K47" s="452">
        <f t="shared" ref="K47:K57" si="23">(I47+J47)*3</f>
        <v>336817.78603200009</v>
      </c>
    </row>
    <row r="48" spans="1:11" x14ac:dyDescent="0.2">
      <c r="A48" s="453" t="s">
        <v>432</v>
      </c>
      <c r="B48" s="450">
        <v>1</v>
      </c>
      <c r="C48" s="440">
        <v>1</v>
      </c>
      <c r="D48" s="440">
        <f>6040*1.04</f>
        <v>6281.6</v>
      </c>
      <c r="E48" s="440">
        <f t="shared" si="17"/>
        <v>26169.145600000003</v>
      </c>
      <c r="F48" s="440">
        <f t="shared" si="18"/>
        <v>48676.118400000007</v>
      </c>
      <c r="G48" s="440">
        <f t="shared" si="19"/>
        <v>81126.864000000001</v>
      </c>
      <c r="H48" s="440">
        <f t="shared" si="20"/>
        <v>81126.864000000001</v>
      </c>
      <c r="I48" s="440">
        <f t="shared" si="21"/>
        <v>81126.864000000001</v>
      </c>
      <c r="J48" s="440">
        <f t="shared" si="22"/>
        <v>24500.312927999999</v>
      </c>
      <c r="K48" s="452">
        <f t="shared" si="23"/>
        <v>316881.530784</v>
      </c>
    </row>
    <row r="49" spans="1:11" x14ac:dyDescent="0.2">
      <c r="A49" s="453" t="s">
        <v>431</v>
      </c>
      <c r="B49" s="450">
        <v>1</v>
      </c>
      <c r="C49" s="440">
        <v>1</v>
      </c>
      <c r="D49" s="440">
        <f t="shared" ref="D49:D57" si="24">5538*1.04</f>
        <v>5759.52</v>
      </c>
      <c r="E49" s="440">
        <f t="shared" si="17"/>
        <v>23994.160320000003</v>
      </c>
      <c r="F49" s="440">
        <f t="shared" si="18"/>
        <v>44630.520480000007</v>
      </c>
      <c r="G49" s="440">
        <f t="shared" si="19"/>
        <v>74384.200800000006</v>
      </c>
      <c r="H49" s="440">
        <f t="shared" si="20"/>
        <v>74384.200800000006</v>
      </c>
      <c r="I49" s="440">
        <f t="shared" si="21"/>
        <v>74384.200800000006</v>
      </c>
      <c r="J49" s="440">
        <f t="shared" si="22"/>
        <v>22464.028641600002</v>
      </c>
      <c r="K49" s="452">
        <f t="shared" si="23"/>
        <v>290544.68832479999</v>
      </c>
    </row>
    <row r="50" spans="1:11" ht="16.5" x14ac:dyDescent="0.2">
      <c r="A50" s="451" t="s">
        <v>302</v>
      </c>
      <c r="B50" s="450">
        <v>1</v>
      </c>
      <c r="C50" s="440">
        <v>1</v>
      </c>
      <c r="D50" s="440">
        <f t="shared" si="24"/>
        <v>5759.52</v>
      </c>
      <c r="E50" s="440">
        <f t="shared" si="17"/>
        <v>23994.160320000003</v>
      </c>
      <c r="F50" s="440">
        <f t="shared" si="18"/>
        <v>44630.520480000007</v>
      </c>
      <c r="G50" s="440">
        <f t="shared" si="19"/>
        <v>74384.200800000006</v>
      </c>
      <c r="H50" s="440">
        <f t="shared" si="20"/>
        <v>74384.200800000006</v>
      </c>
      <c r="I50" s="440">
        <f t="shared" si="21"/>
        <v>74384.200800000006</v>
      </c>
      <c r="J50" s="440">
        <f t="shared" si="22"/>
        <v>22464.028641600002</v>
      </c>
      <c r="K50" s="452">
        <f t="shared" si="23"/>
        <v>290544.68832479999</v>
      </c>
    </row>
    <row r="51" spans="1:11" ht="16.5" x14ac:dyDescent="0.2">
      <c r="A51" s="451" t="s">
        <v>299</v>
      </c>
      <c r="B51" s="450">
        <v>1</v>
      </c>
      <c r="C51" s="440">
        <v>0.5</v>
      </c>
      <c r="D51" s="440">
        <f t="shared" si="24"/>
        <v>5759.52</v>
      </c>
      <c r="E51" s="440">
        <f t="shared" si="17"/>
        <v>23994.160320000003</v>
      </c>
      <c r="F51" s="440">
        <f t="shared" si="18"/>
        <v>44630.520480000007</v>
      </c>
      <c r="G51" s="440">
        <f t="shared" si="19"/>
        <v>74384.200800000006</v>
      </c>
      <c r="H51" s="440">
        <f t="shared" si="20"/>
        <v>37192.100400000003</v>
      </c>
      <c r="I51" s="440">
        <f t="shared" si="21"/>
        <v>37192.100400000003</v>
      </c>
      <c r="J51" s="440">
        <f t="shared" si="22"/>
        <v>11232.014320800001</v>
      </c>
      <c r="K51" s="452">
        <f t="shared" si="23"/>
        <v>145272.3441624</v>
      </c>
    </row>
    <row r="52" spans="1:11" ht="16.5" x14ac:dyDescent="0.2">
      <c r="A52" s="451" t="s">
        <v>300</v>
      </c>
      <c r="B52" s="450">
        <v>1</v>
      </c>
      <c r="C52" s="440">
        <v>0.5</v>
      </c>
      <c r="D52" s="440">
        <f t="shared" si="24"/>
        <v>5759.52</v>
      </c>
      <c r="E52" s="440">
        <f t="shared" si="17"/>
        <v>23994.160320000003</v>
      </c>
      <c r="F52" s="440">
        <f t="shared" si="18"/>
        <v>44630.520480000007</v>
      </c>
      <c r="G52" s="440">
        <f t="shared" si="19"/>
        <v>74384.200800000006</v>
      </c>
      <c r="H52" s="440">
        <f t="shared" si="20"/>
        <v>37192.100400000003</v>
      </c>
      <c r="I52" s="440">
        <f t="shared" si="21"/>
        <v>37192.100400000003</v>
      </c>
      <c r="J52" s="440">
        <f t="shared" si="22"/>
        <v>11232.014320800001</v>
      </c>
      <c r="K52" s="452">
        <f t="shared" si="23"/>
        <v>145272.3441624</v>
      </c>
    </row>
    <row r="53" spans="1:11" ht="16.5" x14ac:dyDescent="0.2">
      <c r="A53" s="451" t="s">
        <v>298</v>
      </c>
      <c r="B53" s="450">
        <v>1</v>
      </c>
      <c r="C53" s="440">
        <v>0.5</v>
      </c>
      <c r="D53" s="440">
        <f t="shared" si="24"/>
        <v>5759.52</v>
      </c>
      <c r="E53" s="440">
        <f t="shared" si="17"/>
        <v>23994.160320000003</v>
      </c>
      <c r="F53" s="440">
        <f t="shared" si="18"/>
        <v>44630.520480000007</v>
      </c>
      <c r="G53" s="440">
        <f t="shared" si="19"/>
        <v>74384.200800000006</v>
      </c>
      <c r="H53" s="440">
        <f t="shared" si="20"/>
        <v>37192.100400000003</v>
      </c>
      <c r="I53" s="440">
        <f t="shared" si="21"/>
        <v>37192.100400000003</v>
      </c>
      <c r="J53" s="440">
        <f t="shared" si="22"/>
        <v>11232.014320800001</v>
      </c>
      <c r="K53" s="452">
        <f t="shared" si="23"/>
        <v>145272.3441624</v>
      </c>
    </row>
    <row r="54" spans="1:11" ht="16.5" x14ac:dyDescent="0.2">
      <c r="A54" s="451" t="s">
        <v>296</v>
      </c>
      <c r="B54" s="450">
        <v>1</v>
      </c>
      <c r="C54" s="440">
        <v>0.5</v>
      </c>
      <c r="D54" s="440">
        <f t="shared" si="24"/>
        <v>5759.52</v>
      </c>
      <c r="E54" s="440">
        <f t="shared" si="17"/>
        <v>23994.160320000003</v>
      </c>
      <c r="F54" s="440">
        <f t="shared" si="18"/>
        <v>44630.520480000007</v>
      </c>
      <c r="G54" s="440">
        <f t="shared" si="19"/>
        <v>74384.200800000006</v>
      </c>
      <c r="H54" s="440">
        <f t="shared" si="20"/>
        <v>37192.100400000003</v>
      </c>
      <c r="I54" s="440">
        <f t="shared" si="21"/>
        <v>37192.100400000003</v>
      </c>
      <c r="J54" s="440">
        <f t="shared" si="22"/>
        <v>11232.014320800001</v>
      </c>
      <c r="K54" s="452">
        <f t="shared" si="23"/>
        <v>145272.3441624</v>
      </c>
    </row>
    <row r="55" spans="1:11" ht="16.5" x14ac:dyDescent="0.2">
      <c r="A55" s="451" t="s">
        <v>297</v>
      </c>
      <c r="B55" s="450">
        <v>1</v>
      </c>
      <c r="C55" s="440">
        <v>0.5</v>
      </c>
      <c r="D55" s="440">
        <f t="shared" si="24"/>
        <v>5759.52</v>
      </c>
      <c r="E55" s="440">
        <f t="shared" si="17"/>
        <v>23994.160320000003</v>
      </c>
      <c r="F55" s="440">
        <f t="shared" si="18"/>
        <v>44630.520480000007</v>
      </c>
      <c r="G55" s="440">
        <f t="shared" si="19"/>
        <v>74384.200800000006</v>
      </c>
      <c r="H55" s="440">
        <f t="shared" si="20"/>
        <v>37192.100400000003</v>
      </c>
      <c r="I55" s="440">
        <f t="shared" si="21"/>
        <v>37192.100400000003</v>
      </c>
      <c r="J55" s="440">
        <f t="shared" si="22"/>
        <v>11232.014320800001</v>
      </c>
      <c r="K55" s="452">
        <f t="shared" si="23"/>
        <v>145272.3441624</v>
      </c>
    </row>
    <row r="56" spans="1:11" ht="16.5" x14ac:dyDescent="0.2">
      <c r="A56" s="451" t="s">
        <v>295</v>
      </c>
      <c r="B56" s="450">
        <v>1</v>
      </c>
      <c r="C56" s="449">
        <v>1</v>
      </c>
      <c r="D56" s="440">
        <f t="shared" si="24"/>
        <v>5759.52</v>
      </c>
      <c r="E56" s="440">
        <f t="shared" si="17"/>
        <v>23994.160320000003</v>
      </c>
      <c r="F56" s="440">
        <f t="shared" si="18"/>
        <v>44630.520480000007</v>
      </c>
      <c r="G56" s="440">
        <f t="shared" si="19"/>
        <v>74384.200800000006</v>
      </c>
      <c r="H56" s="440">
        <f t="shared" si="20"/>
        <v>74384.200800000006</v>
      </c>
      <c r="I56" s="440">
        <f t="shared" si="21"/>
        <v>74384.200800000006</v>
      </c>
      <c r="J56" s="440">
        <f t="shared" si="22"/>
        <v>22464.028641600002</v>
      </c>
      <c r="K56" s="452">
        <f t="shared" si="23"/>
        <v>290544.68832479999</v>
      </c>
    </row>
    <row r="57" spans="1:11" ht="16.5" x14ac:dyDescent="0.2">
      <c r="A57" s="451" t="s">
        <v>301</v>
      </c>
      <c r="B57" s="450">
        <v>1</v>
      </c>
      <c r="C57" s="449">
        <v>1</v>
      </c>
      <c r="D57" s="440">
        <f t="shared" si="24"/>
        <v>5759.52</v>
      </c>
      <c r="E57" s="440">
        <f t="shared" si="17"/>
        <v>23994.160320000003</v>
      </c>
      <c r="F57" s="440">
        <f t="shared" si="18"/>
        <v>44630.520480000007</v>
      </c>
      <c r="G57" s="442">
        <f t="shared" si="19"/>
        <v>74384.200800000006</v>
      </c>
      <c r="H57" s="442">
        <f t="shared" si="20"/>
        <v>74384.200800000006</v>
      </c>
      <c r="I57" s="442">
        <f t="shared" si="21"/>
        <v>74384.200800000006</v>
      </c>
      <c r="J57" s="442">
        <f t="shared" si="22"/>
        <v>22464.028641600002</v>
      </c>
      <c r="K57" s="436">
        <f t="shared" si="23"/>
        <v>290544.68832479999</v>
      </c>
    </row>
    <row r="58" spans="1:11" x14ac:dyDescent="0.2">
      <c r="A58" s="448" t="s">
        <v>7</v>
      </c>
      <c r="B58" s="447">
        <f>SUM(B47:B57)</f>
        <v>11</v>
      </c>
      <c r="C58" s="447">
        <f>SUM(C47:C57)</f>
        <v>8.5</v>
      </c>
      <c r="D58" s="447">
        <f>SUM(D50:D57)+D46</f>
        <v>64794.080000000002</v>
      </c>
      <c r="E58" s="447">
        <f>SUM(E50:E57)+E46</f>
        <v>269932.13728000002</v>
      </c>
      <c r="F58" s="447">
        <f>SUM(F50:F57)+F46</f>
        <v>502089.32592000009</v>
      </c>
      <c r="G58" s="447">
        <f>SUM(G50:G57)+G46</f>
        <v>836815.54320000007</v>
      </c>
      <c r="H58" s="447">
        <f>SUM(H50:H57)+H46</f>
        <v>650855.04120000009</v>
      </c>
      <c r="I58" s="447">
        <f>I46+I50+I51+I52+I53+I54+I55+I56+I57</f>
        <v>650855.04119999998</v>
      </c>
      <c r="J58" s="447">
        <f>J46+J50+J51+J52+J53+J54+J55+J56+J57</f>
        <v>196558.2224424</v>
      </c>
      <c r="K58" s="447">
        <f>K46+K50+K51+K52+K53+K54+K55+K56+K57</f>
        <v>2542239.7909271996</v>
      </c>
    </row>
    <row r="60" spans="1:11" hidden="1" x14ac:dyDescent="0.2"/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83" spans="1:11" ht="141.75" x14ac:dyDescent="0.2">
      <c r="A83" s="313" t="s">
        <v>1</v>
      </c>
      <c r="B83" s="445" t="s">
        <v>445</v>
      </c>
      <c r="C83" s="445" t="s">
        <v>444</v>
      </c>
      <c r="D83" s="445" t="s">
        <v>443</v>
      </c>
      <c r="E83" s="445" t="s">
        <v>442</v>
      </c>
      <c r="F83" s="445" t="s">
        <v>441</v>
      </c>
      <c r="G83" s="445" t="s">
        <v>440</v>
      </c>
      <c r="H83" s="445" t="s">
        <v>439</v>
      </c>
      <c r="I83" s="445" t="s">
        <v>438</v>
      </c>
      <c r="J83" s="445" t="s">
        <v>437</v>
      </c>
      <c r="K83" s="445" t="s">
        <v>436</v>
      </c>
    </row>
    <row r="84" spans="1:11" ht="15.75" x14ac:dyDescent="0.25">
      <c r="A84" s="446"/>
      <c r="B84" s="445" t="s">
        <v>19</v>
      </c>
      <c r="C84" s="445" t="s">
        <v>20</v>
      </c>
      <c r="D84" s="445" t="s">
        <v>21</v>
      </c>
      <c r="E84" s="445" t="s">
        <v>22</v>
      </c>
      <c r="F84" s="445" t="s">
        <v>23</v>
      </c>
      <c r="G84" s="445" t="s">
        <v>435</v>
      </c>
      <c r="H84" s="445" t="s">
        <v>434</v>
      </c>
      <c r="I84" s="445" t="s">
        <v>434</v>
      </c>
      <c r="J84" s="445" t="s">
        <v>434</v>
      </c>
      <c r="K84" s="445" t="s">
        <v>434</v>
      </c>
    </row>
    <row r="85" spans="1:11" ht="16.5" x14ac:dyDescent="0.2">
      <c r="A85" s="443" t="s">
        <v>16</v>
      </c>
      <c r="B85" s="442">
        <f t="shared" ref="B85:G85" si="25">B86+B88+B87</f>
        <v>192636</v>
      </c>
      <c r="C85" s="442">
        <f t="shared" si="25"/>
        <v>40000</v>
      </c>
      <c r="D85" s="442">
        <f t="shared" si="25"/>
        <v>36700</v>
      </c>
      <c r="E85" s="442">
        <f t="shared" si="25"/>
        <v>15000</v>
      </c>
      <c r="F85" s="442">
        <f t="shared" si="25"/>
        <v>40000</v>
      </c>
      <c r="G85" s="442">
        <f t="shared" si="25"/>
        <v>223500</v>
      </c>
      <c r="H85" s="439">
        <f t="shared" ref="H85:H96" si="26">G85+F85+E85+D85+C85+B85+K9</f>
        <v>4215936.9892007997</v>
      </c>
      <c r="I85" s="444">
        <f>I86+I87+I88</f>
        <v>4215.8999999999996</v>
      </c>
      <c r="J85" s="444">
        <f>J86+J87+J88</f>
        <v>4215.8999999999996</v>
      </c>
      <c r="K85" s="444">
        <f>K86+K87+K88</f>
        <v>4215.8999999999996</v>
      </c>
    </row>
    <row r="86" spans="1:11" ht="16.5" x14ac:dyDescent="0.25">
      <c r="A86" s="443" t="s">
        <v>433</v>
      </c>
      <c r="B86" s="442">
        <f>75950+286</f>
        <v>76236</v>
      </c>
      <c r="C86" s="442">
        <v>13400</v>
      </c>
      <c r="D86" s="442">
        <f>20900-8700</f>
        <v>12200</v>
      </c>
      <c r="E86" s="442">
        <v>5000</v>
      </c>
      <c r="F86" s="442"/>
      <c r="G86" s="442">
        <v>74500</v>
      </c>
      <c r="H86" s="439">
        <f t="shared" si="26"/>
        <v>1489819.7534320001</v>
      </c>
      <c r="I86" s="438">
        <v>1489.8</v>
      </c>
      <c r="J86" s="438">
        <v>1489.8</v>
      </c>
      <c r="K86" s="438">
        <v>1489.8</v>
      </c>
    </row>
    <row r="87" spans="1:11" ht="16.5" x14ac:dyDescent="0.25">
      <c r="A87" s="443" t="s">
        <v>432</v>
      </c>
      <c r="B87" s="442">
        <f>148850-40000-68400</f>
        <v>40450</v>
      </c>
      <c r="C87" s="442">
        <v>13400</v>
      </c>
      <c r="D87" s="442">
        <f>20900-8700</f>
        <v>12200</v>
      </c>
      <c r="E87" s="442">
        <v>5000</v>
      </c>
      <c r="F87" s="442">
        <v>40000</v>
      </c>
      <c r="G87" s="442">
        <v>74500</v>
      </c>
      <c r="H87" s="439">
        <f t="shared" si="26"/>
        <v>1416512.869584</v>
      </c>
      <c r="I87" s="438">
        <v>1416.5</v>
      </c>
      <c r="J87" s="438">
        <v>1416.5</v>
      </c>
      <c r="K87" s="438">
        <v>1416.5</v>
      </c>
    </row>
    <row r="88" spans="1:11" ht="16.5" x14ac:dyDescent="0.25">
      <c r="A88" s="443" t="s">
        <v>431</v>
      </c>
      <c r="B88" s="442">
        <v>75950</v>
      </c>
      <c r="C88" s="442">
        <v>13200</v>
      </c>
      <c r="D88" s="442">
        <f>21000-8700</f>
        <v>12300</v>
      </c>
      <c r="E88" s="442">
        <v>5000</v>
      </c>
      <c r="F88" s="442"/>
      <c r="G88" s="442">
        <v>74500</v>
      </c>
      <c r="H88" s="439">
        <f t="shared" si="26"/>
        <v>1309604.3661847999</v>
      </c>
      <c r="I88" s="438">
        <v>1309.5999999999999</v>
      </c>
      <c r="J88" s="438">
        <v>1309.5999999999999</v>
      </c>
      <c r="K88" s="438">
        <v>1309.5999999999999</v>
      </c>
    </row>
    <row r="89" spans="1:11" ht="16.5" x14ac:dyDescent="0.25">
      <c r="A89" s="441" t="s">
        <v>302</v>
      </c>
      <c r="B89" s="440">
        <f>900+5300+157500+8400</f>
        <v>172100</v>
      </c>
      <c r="C89" s="440">
        <v>19400</v>
      </c>
      <c r="D89" s="440">
        <v>43100</v>
      </c>
      <c r="E89" s="440">
        <v>1100</v>
      </c>
      <c r="F89" s="440">
        <f>3500+14400</f>
        <v>17900</v>
      </c>
      <c r="G89" s="440">
        <f>63000</f>
        <v>63000</v>
      </c>
      <c r="H89" s="439">
        <f t="shared" si="26"/>
        <v>1445254.3661847999</v>
      </c>
      <c r="I89" s="438">
        <v>1445.3</v>
      </c>
      <c r="J89" s="438">
        <v>1445.3</v>
      </c>
      <c r="K89" s="438">
        <v>1445.3</v>
      </c>
    </row>
    <row r="90" spans="1:11" ht="16.5" x14ac:dyDescent="0.25">
      <c r="A90" s="441" t="s">
        <v>299</v>
      </c>
      <c r="B90" s="440">
        <v>120000</v>
      </c>
      <c r="C90" s="440">
        <v>19600</v>
      </c>
      <c r="D90" s="440">
        <v>20950</v>
      </c>
      <c r="E90" s="440">
        <v>2100</v>
      </c>
      <c r="F90" s="440">
        <v>21000</v>
      </c>
      <c r="G90" s="440">
        <v>25000</v>
      </c>
      <c r="H90" s="439">
        <f t="shared" si="26"/>
        <v>772977.18309239997</v>
      </c>
      <c r="I90" s="438">
        <v>773</v>
      </c>
      <c r="J90" s="438">
        <v>773</v>
      </c>
      <c r="K90" s="438">
        <v>773</v>
      </c>
    </row>
    <row r="91" spans="1:11" ht="16.5" x14ac:dyDescent="0.25">
      <c r="A91" s="441" t="s">
        <v>300</v>
      </c>
      <c r="B91" s="440">
        <v>120000</v>
      </c>
      <c r="C91" s="440">
        <v>19600</v>
      </c>
      <c r="D91" s="440">
        <v>20950</v>
      </c>
      <c r="E91" s="440">
        <v>2100</v>
      </c>
      <c r="F91" s="440">
        <v>21000</v>
      </c>
      <c r="G91" s="440">
        <v>25000</v>
      </c>
      <c r="H91" s="439">
        <f t="shared" si="26"/>
        <v>772977.18309239997</v>
      </c>
      <c r="I91" s="438">
        <v>773</v>
      </c>
      <c r="J91" s="438">
        <v>773</v>
      </c>
      <c r="K91" s="438">
        <v>773</v>
      </c>
    </row>
    <row r="92" spans="1:11" ht="16.5" x14ac:dyDescent="0.25">
      <c r="A92" s="441" t="s">
        <v>298</v>
      </c>
      <c r="B92" s="440">
        <v>0</v>
      </c>
      <c r="C92" s="440">
        <v>24780</v>
      </c>
      <c r="D92" s="440">
        <v>14250</v>
      </c>
      <c r="E92" s="440">
        <v>0</v>
      </c>
      <c r="F92" s="440">
        <v>0</v>
      </c>
      <c r="G92" s="440"/>
      <c r="H92" s="439">
        <f t="shared" si="26"/>
        <v>603357.18309239997</v>
      </c>
      <c r="I92" s="438">
        <v>603.4</v>
      </c>
      <c r="J92" s="438">
        <v>603.4</v>
      </c>
      <c r="K92" s="438">
        <v>603.4</v>
      </c>
    </row>
    <row r="93" spans="1:11" ht="16.5" x14ac:dyDescent="0.25">
      <c r="A93" s="441" t="s">
        <v>296</v>
      </c>
      <c r="B93" s="440">
        <f>50000+43300</f>
        <v>93300</v>
      </c>
      <c r="C93" s="440">
        <v>19600</v>
      </c>
      <c r="D93" s="440">
        <v>20900</v>
      </c>
      <c r="E93" s="440">
        <v>2000</v>
      </c>
      <c r="F93" s="440">
        <v>0</v>
      </c>
      <c r="G93" s="440">
        <v>18500</v>
      </c>
      <c r="H93" s="439">
        <f t="shared" si="26"/>
        <v>718627.18309239997</v>
      </c>
      <c r="I93" s="438">
        <v>718.6</v>
      </c>
      <c r="J93" s="438">
        <v>718.6</v>
      </c>
      <c r="K93" s="438">
        <v>718.6</v>
      </c>
    </row>
    <row r="94" spans="1:11" ht="16.5" x14ac:dyDescent="0.25">
      <c r="A94" s="441" t="s">
        <v>297</v>
      </c>
      <c r="B94" s="440">
        <f>70000+20400+12000+3500</f>
        <v>105900</v>
      </c>
      <c r="C94" s="440">
        <v>2200</v>
      </c>
      <c r="D94" s="440">
        <v>0</v>
      </c>
      <c r="E94" s="440">
        <v>7400</v>
      </c>
      <c r="F94" s="440">
        <v>0</v>
      </c>
      <c r="G94" s="440">
        <f>13500+11700</f>
        <v>25200</v>
      </c>
      <c r="H94" s="439">
        <f t="shared" si="26"/>
        <v>705027.18309239997</v>
      </c>
      <c r="I94" s="438">
        <v>705</v>
      </c>
      <c r="J94" s="438">
        <v>705</v>
      </c>
      <c r="K94" s="438">
        <v>705</v>
      </c>
    </row>
    <row r="95" spans="1:11" ht="16.5" x14ac:dyDescent="0.25">
      <c r="A95" s="441" t="s">
        <v>295</v>
      </c>
      <c r="B95" s="440">
        <v>50000</v>
      </c>
      <c r="C95" s="440">
        <v>12904</v>
      </c>
      <c r="D95" s="440">
        <v>2000</v>
      </c>
      <c r="E95" s="440">
        <v>3800</v>
      </c>
      <c r="F95" s="440">
        <v>0</v>
      </c>
      <c r="G95" s="440">
        <f>10000+40130</f>
        <v>50130</v>
      </c>
      <c r="H95" s="439">
        <f t="shared" si="26"/>
        <v>1247488.3661847999</v>
      </c>
      <c r="I95" s="438">
        <v>1247.5</v>
      </c>
      <c r="J95" s="438">
        <v>1247.5</v>
      </c>
      <c r="K95" s="438">
        <v>1247.5</v>
      </c>
    </row>
    <row r="96" spans="1:11" ht="16.5" x14ac:dyDescent="0.25">
      <c r="A96" s="441" t="s">
        <v>301</v>
      </c>
      <c r="B96" s="440">
        <v>2100</v>
      </c>
      <c r="C96" s="440">
        <v>18150</v>
      </c>
      <c r="D96" s="440">
        <v>20550</v>
      </c>
      <c r="E96" s="440">
        <v>15400</v>
      </c>
      <c r="F96" s="440">
        <v>2200</v>
      </c>
      <c r="G96" s="440">
        <v>17300</v>
      </c>
      <c r="H96" s="439">
        <f t="shared" si="26"/>
        <v>1204354.3661847999</v>
      </c>
      <c r="I96" s="438">
        <v>1204.3</v>
      </c>
      <c r="J96" s="438">
        <v>1204.3</v>
      </c>
      <c r="K96" s="438">
        <v>1204.3</v>
      </c>
    </row>
    <row r="97" spans="1:11" ht="15.75" x14ac:dyDescent="0.25">
      <c r="A97" s="437" t="s">
        <v>7</v>
      </c>
      <c r="B97" s="558">
        <f t="shared" ref="B97:H97" si="27">SUM(B86:B96)</f>
        <v>856036</v>
      </c>
      <c r="C97" s="558">
        <f t="shared" si="27"/>
        <v>176234</v>
      </c>
      <c r="D97" s="558">
        <f t="shared" si="27"/>
        <v>179400</v>
      </c>
      <c r="E97" s="558">
        <f t="shared" si="27"/>
        <v>48900</v>
      </c>
      <c r="F97" s="558">
        <f t="shared" si="27"/>
        <v>102100</v>
      </c>
      <c r="G97" s="558">
        <f t="shared" si="27"/>
        <v>447630</v>
      </c>
      <c r="H97" s="435">
        <f t="shared" si="27"/>
        <v>11686000.003217202</v>
      </c>
      <c r="I97" s="434">
        <f>I85+I89+I90+I91+I92+I93+I94+I95+I96</f>
        <v>11685.999999999998</v>
      </c>
      <c r="J97" s="434">
        <f>J85+J89+J90+J91+J92+J93+J94+J95+J96</f>
        <v>11685.999999999998</v>
      </c>
      <c r="K97" s="434">
        <f>K85+K89+K90+K91+K92+K93+K94+K95+K96</f>
        <v>11685.999999999998</v>
      </c>
    </row>
  </sheetData>
  <mergeCells count="5">
    <mergeCell ref="A1:K1"/>
    <mergeCell ref="A2:K2"/>
    <mergeCell ref="A3:K3"/>
    <mergeCell ref="C24:K24"/>
    <mergeCell ref="C43:K43"/>
  </mergeCells>
  <printOptions horizontalCentered="1"/>
  <pageMargins left="0.23622047244094491" right="0.27559055118110237" top="0.74803149606299213" bottom="0.74803149606299213" header="0.31496062992125984" footer="0.31496062992125984"/>
  <pageSetup paperSize="9" scale="2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"/>
  <sheetViews>
    <sheetView workbookViewId="0">
      <selection activeCell="H5" sqref="H5"/>
    </sheetView>
  </sheetViews>
  <sheetFormatPr defaultRowHeight="12.75" x14ac:dyDescent="0.2"/>
  <cols>
    <col min="1" max="1" width="40.140625" style="479" customWidth="1"/>
    <col min="2" max="2" width="12.42578125" style="479" customWidth="1"/>
    <col min="3" max="3" width="12.28515625" style="479" customWidth="1"/>
    <col min="4" max="4" width="12.5703125" style="479" customWidth="1"/>
    <col min="5" max="5" width="12.7109375" style="479" customWidth="1"/>
    <col min="6" max="6" width="12.140625" style="479" customWidth="1"/>
    <col min="7" max="16384" width="9.140625" style="479"/>
  </cols>
  <sheetData>
    <row r="1" spans="1:6" ht="15.75" x14ac:dyDescent="0.25">
      <c r="A1" s="729" t="s">
        <v>53</v>
      </c>
      <c r="B1" s="729"/>
      <c r="C1" s="729"/>
      <c r="D1" s="729"/>
      <c r="E1" s="729"/>
      <c r="F1" s="729"/>
    </row>
    <row r="2" spans="1:6" ht="63.75" customHeight="1" x14ac:dyDescent="0.25">
      <c r="A2" s="729" t="s">
        <v>479</v>
      </c>
      <c r="B2" s="729"/>
      <c r="C2" s="729"/>
      <c r="D2" s="729"/>
      <c r="E2" s="729"/>
      <c r="F2" s="729"/>
    </row>
    <row r="3" spans="1:6" ht="16.5" customHeight="1" x14ac:dyDescent="0.25">
      <c r="A3" s="317"/>
      <c r="B3" s="317"/>
      <c r="C3" s="317"/>
      <c r="D3" s="483"/>
      <c r="E3" s="483"/>
      <c r="F3" s="483" t="s">
        <v>423</v>
      </c>
    </row>
    <row r="4" spans="1:6" s="426" customFormat="1" ht="24.75" customHeight="1" x14ac:dyDescent="0.2">
      <c r="A4" s="916" t="s">
        <v>188</v>
      </c>
      <c r="B4" s="738" t="s">
        <v>180</v>
      </c>
      <c r="C4" s="738"/>
      <c r="D4" s="738"/>
      <c r="E4" s="427" t="s">
        <v>204</v>
      </c>
      <c r="F4" s="427" t="s">
        <v>333</v>
      </c>
    </row>
    <row r="5" spans="1:6" ht="75" x14ac:dyDescent="0.2">
      <c r="A5" s="916"/>
      <c r="B5" s="482" t="s">
        <v>476</v>
      </c>
      <c r="C5" s="482" t="s">
        <v>475</v>
      </c>
      <c r="D5" s="482" t="s">
        <v>474</v>
      </c>
      <c r="E5" s="482" t="s">
        <v>474</v>
      </c>
      <c r="F5" s="482" t="s">
        <v>474</v>
      </c>
    </row>
    <row r="6" spans="1:6" ht="15.75" x14ac:dyDescent="0.25">
      <c r="A6" s="424" t="s">
        <v>3</v>
      </c>
      <c r="B6" s="484">
        <v>30</v>
      </c>
      <c r="C6" s="484">
        <v>1</v>
      </c>
      <c r="D6" s="484">
        <f>B6*C6</f>
        <v>30</v>
      </c>
      <c r="E6" s="484">
        <v>30</v>
      </c>
      <c r="F6" s="484">
        <v>30</v>
      </c>
    </row>
    <row r="7" spans="1:6" ht="15.75" x14ac:dyDescent="0.25">
      <c r="A7" s="480" t="s">
        <v>55</v>
      </c>
      <c r="B7" s="480">
        <v>40</v>
      </c>
      <c r="C7" s="480">
        <v>1</v>
      </c>
      <c r="D7" s="484">
        <f>B7*C7</f>
        <v>40</v>
      </c>
      <c r="E7" s="484">
        <v>40</v>
      </c>
      <c r="F7" s="484">
        <v>40</v>
      </c>
    </row>
    <row r="8" spans="1:6" ht="15.75" x14ac:dyDescent="0.25">
      <c r="A8" s="480" t="s">
        <v>58</v>
      </c>
      <c r="B8" s="480">
        <v>30</v>
      </c>
      <c r="C8" s="480">
        <v>2</v>
      </c>
      <c r="D8" s="484">
        <f>B8*C8</f>
        <v>60</v>
      </c>
      <c r="E8" s="484">
        <v>60</v>
      </c>
      <c r="F8" s="484">
        <v>60</v>
      </c>
    </row>
    <row r="9" spans="1:6" s="209" customFormat="1" ht="15.75" x14ac:dyDescent="0.25">
      <c r="A9" s="421" t="s">
        <v>17</v>
      </c>
      <c r="B9" s="421"/>
      <c r="C9" s="421"/>
      <c r="D9" s="480">
        <f>SUM(D6:D8)</f>
        <v>130</v>
      </c>
      <c r="E9" s="480">
        <f>SUM(E6:E8)</f>
        <v>130</v>
      </c>
      <c r="F9" s="480">
        <f>SUM(F6:F8)</f>
        <v>130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3"/>
  <sheetViews>
    <sheetView workbookViewId="0">
      <selection activeCell="L13" sqref="L13"/>
    </sheetView>
  </sheetViews>
  <sheetFormatPr defaultColWidth="14" defaultRowHeight="15.75" x14ac:dyDescent="0.2"/>
  <cols>
    <col min="1" max="1" width="23.140625" style="485" customWidth="1"/>
    <col min="2" max="2" width="13.28515625" style="485" customWidth="1"/>
    <col min="3" max="3" width="10.7109375" style="485" customWidth="1"/>
    <col min="4" max="4" width="19.42578125" style="485" customWidth="1"/>
    <col min="5" max="5" width="16.42578125" style="485" customWidth="1"/>
    <col min="6" max="6" width="13.140625" style="485" customWidth="1"/>
    <col min="7" max="7" width="16.140625" style="485" customWidth="1"/>
    <col min="8" max="8" width="12" style="485" customWidth="1"/>
    <col min="9" max="9" width="11" style="485" customWidth="1"/>
    <col min="10" max="10" width="9.140625" style="485" customWidth="1"/>
    <col min="11" max="11" width="10.7109375" style="485" bestFit="1" customWidth="1"/>
    <col min="12" max="252" width="9.140625" style="485" customWidth="1"/>
    <col min="253" max="253" width="23.5703125" style="485" customWidth="1"/>
    <col min="254" max="254" width="11.42578125" style="485" customWidth="1"/>
    <col min="255" max="255" width="27.5703125" style="485" customWidth="1"/>
    <col min="256" max="16384" width="14" style="485"/>
  </cols>
  <sheetData>
    <row r="1" spans="1:9" x14ac:dyDescent="0.2">
      <c r="A1" s="917" t="s">
        <v>53</v>
      </c>
      <c r="B1" s="917"/>
      <c r="C1" s="917"/>
      <c r="D1" s="917"/>
      <c r="E1" s="917"/>
      <c r="F1" s="917"/>
      <c r="G1" s="917"/>
      <c r="H1" s="917"/>
      <c r="I1" s="917"/>
    </row>
    <row r="2" spans="1:9" ht="67.5" customHeight="1" x14ac:dyDescent="0.2">
      <c r="A2" s="923" t="s">
        <v>487</v>
      </c>
      <c r="B2" s="923"/>
      <c r="C2" s="923"/>
      <c r="D2" s="923"/>
      <c r="E2" s="923"/>
      <c r="F2" s="923"/>
      <c r="G2" s="923"/>
      <c r="H2" s="923"/>
      <c r="I2" s="923"/>
    </row>
    <row r="3" spans="1:9" x14ac:dyDescent="0.2">
      <c r="A3" s="493"/>
      <c r="B3" s="493"/>
      <c r="C3" s="493"/>
      <c r="D3" s="493"/>
      <c r="E3" s="493"/>
      <c r="F3" s="493"/>
      <c r="G3" s="493"/>
    </row>
    <row r="4" spans="1:9" x14ac:dyDescent="0.2">
      <c r="A4" s="493"/>
      <c r="B4" s="493"/>
      <c r="C4" s="493"/>
      <c r="D4" s="493"/>
      <c r="E4" s="493"/>
      <c r="F4" s="493"/>
      <c r="I4" s="492" t="s">
        <v>50</v>
      </c>
    </row>
    <row r="5" spans="1:9" x14ac:dyDescent="0.2">
      <c r="A5" s="918" t="s">
        <v>486</v>
      </c>
      <c r="B5" s="919" t="s">
        <v>485</v>
      </c>
      <c r="C5" s="919" t="s">
        <v>484</v>
      </c>
      <c r="D5" s="919" t="s">
        <v>483</v>
      </c>
      <c r="E5" s="919" t="s">
        <v>482</v>
      </c>
      <c r="F5" s="919" t="s">
        <v>481</v>
      </c>
      <c r="G5" s="919" t="s">
        <v>480</v>
      </c>
      <c r="H5" s="919" t="s">
        <v>204</v>
      </c>
      <c r="I5" s="919" t="s">
        <v>333</v>
      </c>
    </row>
    <row r="6" spans="1:9" x14ac:dyDescent="0.2">
      <c r="A6" s="918"/>
      <c r="B6" s="920"/>
      <c r="C6" s="921"/>
      <c r="D6" s="921"/>
      <c r="E6" s="921"/>
      <c r="F6" s="921"/>
      <c r="G6" s="921"/>
      <c r="H6" s="922"/>
      <c r="I6" s="922"/>
    </row>
    <row r="7" spans="1:9" x14ac:dyDescent="0.2">
      <c r="A7" s="491">
        <v>1</v>
      </c>
      <c r="B7" s="490">
        <v>2</v>
      </c>
      <c r="C7" s="491">
        <v>3</v>
      </c>
      <c r="D7" s="490">
        <v>4</v>
      </c>
      <c r="E7" s="491">
        <v>5</v>
      </c>
      <c r="F7" s="490">
        <v>6</v>
      </c>
      <c r="G7" s="491">
        <v>7</v>
      </c>
      <c r="H7" s="491">
        <v>8</v>
      </c>
      <c r="I7" s="490">
        <v>9</v>
      </c>
    </row>
    <row r="8" spans="1:9" ht="31.5" x14ac:dyDescent="0.25">
      <c r="A8" s="70" t="s">
        <v>64</v>
      </c>
      <c r="B8" s="488">
        <v>2</v>
      </c>
      <c r="C8" s="487">
        <v>30580</v>
      </c>
      <c r="D8" s="487">
        <f>C8*0.2*2.5</f>
        <v>15290</v>
      </c>
      <c r="E8" s="487">
        <f>D8*0.302</f>
        <v>4617.58</v>
      </c>
      <c r="F8" s="487">
        <f>D8+E8</f>
        <v>19907.580000000002</v>
      </c>
      <c r="G8" s="487">
        <v>238.9</v>
      </c>
      <c r="H8" s="487">
        <f t="shared" ref="H8:I12" si="0">G8</f>
        <v>238.9</v>
      </c>
      <c r="I8" s="487">
        <f t="shared" si="0"/>
        <v>238.9</v>
      </c>
    </row>
    <row r="9" spans="1:9" ht="31.5" x14ac:dyDescent="0.25">
      <c r="A9" s="70" t="s">
        <v>58</v>
      </c>
      <c r="B9" s="488">
        <v>3</v>
      </c>
      <c r="C9" s="487">
        <v>35160</v>
      </c>
      <c r="D9" s="487">
        <f>C9*0.2*2.5</f>
        <v>17580</v>
      </c>
      <c r="E9" s="487">
        <f>D9*0.302</f>
        <v>5309.16</v>
      </c>
      <c r="F9" s="487">
        <f>D9+E9</f>
        <v>22889.16</v>
      </c>
      <c r="G9" s="487">
        <v>274.7</v>
      </c>
      <c r="H9" s="487">
        <f t="shared" si="0"/>
        <v>274.7</v>
      </c>
      <c r="I9" s="487">
        <f t="shared" si="0"/>
        <v>274.7</v>
      </c>
    </row>
    <row r="10" spans="1:9" ht="31.5" x14ac:dyDescent="0.25">
      <c r="A10" s="70" t="s">
        <v>55</v>
      </c>
      <c r="B10" s="488">
        <v>2</v>
      </c>
      <c r="C10" s="487">
        <v>35040</v>
      </c>
      <c r="D10" s="487">
        <f>C10*0.2*2.5</f>
        <v>17520</v>
      </c>
      <c r="E10" s="487">
        <f>D10*0.302</f>
        <v>5291.04</v>
      </c>
      <c r="F10" s="487">
        <f>D10+E10</f>
        <v>22811.040000000001</v>
      </c>
      <c r="G10" s="487">
        <v>273.7</v>
      </c>
      <c r="H10" s="487">
        <f t="shared" si="0"/>
        <v>273.7</v>
      </c>
      <c r="I10" s="487">
        <f t="shared" si="0"/>
        <v>273.7</v>
      </c>
    </row>
    <row r="11" spans="1:9" x14ac:dyDescent="0.25">
      <c r="A11" s="70" t="s">
        <v>3</v>
      </c>
      <c r="B11" s="488">
        <v>9</v>
      </c>
      <c r="C11" s="487">
        <v>113755</v>
      </c>
      <c r="D11" s="487">
        <v>56877.5</v>
      </c>
      <c r="E11" s="487">
        <v>17177.005000000001</v>
      </c>
      <c r="F11" s="487">
        <v>74054.505000000005</v>
      </c>
      <c r="G11" s="487">
        <v>888.6</v>
      </c>
      <c r="H11" s="487">
        <f t="shared" si="0"/>
        <v>888.6</v>
      </c>
      <c r="I11" s="487">
        <f t="shared" si="0"/>
        <v>888.6</v>
      </c>
    </row>
    <row r="12" spans="1:9" ht="31.5" x14ac:dyDescent="0.25">
      <c r="A12" s="70" t="s">
        <v>60</v>
      </c>
      <c r="B12" s="488">
        <v>1</v>
      </c>
      <c r="C12" s="487">
        <v>12110</v>
      </c>
      <c r="D12" s="487">
        <f>C12*0.2*2.7</f>
        <v>6539.4000000000005</v>
      </c>
      <c r="E12" s="487">
        <f>D12*0.302</f>
        <v>1974.8988000000002</v>
      </c>
      <c r="F12" s="487">
        <f>D12+E12</f>
        <v>8514.2988000000005</v>
      </c>
      <c r="G12" s="487">
        <v>102.2</v>
      </c>
      <c r="H12" s="487">
        <f t="shared" si="0"/>
        <v>102.2</v>
      </c>
      <c r="I12" s="487">
        <f t="shared" si="0"/>
        <v>102.2</v>
      </c>
    </row>
    <row r="13" spans="1:9" x14ac:dyDescent="0.25">
      <c r="A13" s="489" t="s">
        <v>4</v>
      </c>
      <c r="B13" s="488">
        <f>B8+B9+B10+B11+B12</f>
        <v>17</v>
      </c>
      <c r="C13" s="487">
        <f t="shared" ref="C13:I13" si="1">+C8+C9+C10+C11+C12</f>
        <v>226645</v>
      </c>
      <c r="D13" s="487">
        <f t="shared" si="1"/>
        <v>113806.9</v>
      </c>
      <c r="E13" s="487">
        <f t="shared" si="1"/>
        <v>34369.683799999999</v>
      </c>
      <c r="F13" s="487">
        <f t="shared" si="1"/>
        <v>148176.58379999999</v>
      </c>
      <c r="G13" s="486">
        <f t="shared" si="1"/>
        <v>1778.1000000000001</v>
      </c>
      <c r="H13" s="486">
        <f t="shared" si="1"/>
        <v>1778.1000000000001</v>
      </c>
      <c r="I13" s="486">
        <f t="shared" si="1"/>
        <v>1778.1000000000001</v>
      </c>
    </row>
  </sheetData>
  <mergeCells count="11">
    <mergeCell ref="A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I2"/>
  </mergeCells>
  <pageMargins left="0.39" right="0.33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"/>
  <sheetViews>
    <sheetView zoomScaleNormal="100" workbookViewId="0">
      <selection activeCell="O6" sqref="O6"/>
    </sheetView>
  </sheetViews>
  <sheetFormatPr defaultRowHeight="15.75" x14ac:dyDescent="0.25"/>
  <cols>
    <col min="1" max="1" width="24.5703125" style="494" customWidth="1"/>
    <col min="2" max="2" width="18.5703125" style="494" customWidth="1"/>
    <col min="3" max="3" width="19.85546875" style="494" customWidth="1"/>
    <col min="4" max="4" width="22.7109375" style="494" customWidth="1"/>
    <col min="5" max="5" width="13.85546875" style="494" customWidth="1"/>
    <col min="6" max="6" width="12.5703125" style="494" customWidth="1"/>
    <col min="7" max="7" width="13.28515625" style="494" customWidth="1"/>
    <col min="8" max="16384" width="9.140625" style="494"/>
  </cols>
  <sheetData>
    <row r="1" spans="1:7" x14ac:dyDescent="0.25">
      <c r="A1" s="924" t="s">
        <v>53</v>
      </c>
      <c r="B1" s="924"/>
      <c r="C1" s="924"/>
      <c r="D1" s="924"/>
      <c r="E1" s="924"/>
      <c r="F1" s="924"/>
      <c r="G1" s="924"/>
    </row>
    <row r="2" spans="1:7" ht="72" customHeight="1" x14ac:dyDescent="0.25">
      <c r="A2" s="925" t="s">
        <v>496</v>
      </c>
      <c r="B2" s="925"/>
      <c r="C2" s="925"/>
      <c r="D2" s="925"/>
      <c r="E2" s="925"/>
      <c r="F2" s="925"/>
      <c r="G2" s="925"/>
    </row>
    <row r="3" spans="1:7" x14ac:dyDescent="0.25">
      <c r="A3" s="926"/>
      <c r="B3" s="926"/>
      <c r="C3" s="926"/>
      <c r="D3" s="926"/>
      <c r="E3" s="926"/>
    </row>
    <row r="4" spans="1:7" s="500" customFormat="1" ht="269.25" customHeight="1" x14ac:dyDescent="0.25">
      <c r="A4" s="501" t="s">
        <v>495</v>
      </c>
      <c r="B4" s="501" t="s">
        <v>494</v>
      </c>
      <c r="C4" s="501" t="s">
        <v>493</v>
      </c>
      <c r="D4" s="501" t="s">
        <v>492</v>
      </c>
      <c r="E4" s="501" t="s">
        <v>491</v>
      </c>
      <c r="F4" s="501" t="s">
        <v>490</v>
      </c>
      <c r="G4" s="501" t="s">
        <v>489</v>
      </c>
    </row>
    <row r="5" spans="1:7" ht="26.25" customHeight="1" x14ac:dyDescent="0.25">
      <c r="A5" s="499" t="s">
        <v>488</v>
      </c>
      <c r="B5" s="495">
        <v>190</v>
      </c>
      <c r="C5" s="495">
        <v>207</v>
      </c>
      <c r="D5" s="497">
        <v>1000000</v>
      </c>
      <c r="E5" s="496">
        <f>B5/C5*D5/1000</f>
        <v>917.87439613526567</v>
      </c>
      <c r="F5" s="496">
        <v>917.9</v>
      </c>
      <c r="G5" s="496">
        <v>917.9</v>
      </c>
    </row>
    <row r="6" spans="1:7" ht="38.25" customHeight="1" x14ac:dyDescent="0.25">
      <c r="A6" s="498" t="s">
        <v>58</v>
      </c>
      <c r="B6" s="495">
        <v>17</v>
      </c>
      <c r="C6" s="495">
        <v>207</v>
      </c>
      <c r="D6" s="497">
        <v>1000000</v>
      </c>
      <c r="E6" s="496">
        <f>B6/C6*D6/1000</f>
        <v>82.125603864734302</v>
      </c>
      <c r="F6" s="496">
        <v>82.1</v>
      </c>
      <c r="G6" s="496">
        <v>82.1</v>
      </c>
    </row>
    <row r="7" spans="1:7" x14ac:dyDescent="0.25">
      <c r="A7" s="724" t="s">
        <v>17</v>
      </c>
      <c r="B7" s="725">
        <f>SUM(B5:B6)</f>
        <v>207</v>
      </c>
      <c r="C7" s="725"/>
      <c r="D7" s="725"/>
      <c r="E7" s="726">
        <f>SUM(E5:E6)</f>
        <v>1000</v>
      </c>
      <c r="F7" s="726">
        <f>SUM(F5:F6)</f>
        <v>1000</v>
      </c>
      <c r="G7" s="726">
        <f>SUM(G5:G6)</f>
        <v>1000</v>
      </c>
    </row>
  </sheetData>
  <mergeCells count="3">
    <mergeCell ref="A1:G1"/>
    <mergeCell ref="A2:G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24"/>
  <sheetViews>
    <sheetView zoomScaleNormal="100" workbookViewId="0">
      <selection activeCell="AY18" sqref="AY18"/>
    </sheetView>
  </sheetViews>
  <sheetFormatPr defaultRowHeight="15.75" x14ac:dyDescent="0.25"/>
  <cols>
    <col min="1" max="1" width="34.42578125" style="503" customWidth="1"/>
    <col min="2" max="2" width="11.42578125" style="503" hidden="1" customWidth="1"/>
    <col min="3" max="3" width="9.7109375" style="503" hidden="1" customWidth="1"/>
    <col min="4" max="4" width="9" style="503" hidden="1" customWidth="1"/>
    <col min="5" max="5" width="15.7109375" style="5" customWidth="1"/>
    <col min="6" max="6" width="19" style="5" customWidth="1"/>
    <col min="7" max="40" width="0" style="5" hidden="1" customWidth="1"/>
    <col min="41" max="41" width="15.7109375" style="5" customWidth="1"/>
    <col min="42" max="42" width="16.140625" style="5" customWidth="1"/>
    <col min="43" max="43" width="13" style="502" customWidth="1"/>
    <col min="44" max="44" width="12.5703125" style="5" customWidth="1"/>
    <col min="45" max="45" width="12.140625" style="5" customWidth="1"/>
    <col min="46" max="46" width="12.5703125" style="5" customWidth="1"/>
    <col min="47" max="16384" width="9.140625" style="5"/>
  </cols>
  <sheetData>
    <row r="1" spans="1:48" x14ac:dyDescent="0.25">
      <c r="A1" s="928" t="s">
        <v>53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28"/>
      <c r="AP1" s="928"/>
      <c r="AQ1" s="928"/>
      <c r="AR1" s="928"/>
      <c r="AS1" s="928"/>
      <c r="AT1" s="928"/>
    </row>
    <row r="2" spans="1:48" ht="39.75" customHeight="1" x14ac:dyDescent="0.25">
      <c r="A2" s="927" t="s">
        <v>544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  <c r="AM2" s="927"/>
      <c r="AN2" s="927"/>
      <c r="AO2" s="927"/>
      <c r="AP2" s="927"/>
      <c r="AQ2" s="927"/>
      <c r="AR2" s="927"/>
      <c r="AS2" s="927"/>
      <c r="AT2" s="927"/>
    </row>
    <row r="3" spans="1:48" x14ac:dyDescent="0.25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8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5"/>
      <c r="AP3" s="525"/>
      <c r="AQ3" s="526"/>
      <c r="AR3" s="525"/>
    </row>
    <row r="4" spans="1:48" s="519" customFormat="1" ht="170.25" customHeight="1" x14ac:dyDescent="0.35">
      <c r="A4" s="523" t="s">
        <v>486</v>
      </c>
      <c r="B4" s="524" t="s">
        <v>543</v>
      </c>
      <c r="C4" s="524" t="s">
        <v>542</v>
      </c>
      <c r="D4" s="524" t="s">
        <v>541</v>
      </c>
      <c r="E4" s="520" t="s">
        <v>540</v>
      </c>
      <c r="F4" s="520" t="s">
        <v>539</v>
      </c>
      <c r="G4" s="523" t="s">
        <v>538</v>
      </c>
      <c r="H4" s="523" t="s">
        <v>537</v>
      </c>
      <c r="I4" s="523" t="s">
        <v>536</v>
      </c>
      <c r="J4" s="523" t="s">
        <v>535</v>
      </c>
      <c r="K4" s="523" t="s">
        <v>534</v>
      </c>
      <c r="L4" s="523" t="s">
        <v>533</v>
      </c>
      <c r="M4" s="523" t="s">
        <v>532</v>
      </c>
      <c r="N4" s="523" t="s">
        <v>531</v>
      </c>
      <c r="O4" s="523" t="s">
        <v>530</v>
      </c>
      <c r="P4" s="523" t="s">
        <v>529</v>
      </c>
      <c r="Q4" s="523" t="s">
        <v>528</v>
      </c>
      <c r="R4" s="523" t="s">
        <v>527</v>
      </c>
      <c r="S4" s="523" t="s">
        <v>526</v>
      </c>
      <c r="T4" s="523" t="s">
        <v>525</v>
      </c>
      <c r="U4" s="523" t="s">
        <v>524</v>
      </c>
      <c r="V4" s="523" t="s">
        <v>523</v>
      </c>
      <c r="W4" s="523" t="s">
        <v>522</v>
      </c>
      <c r="X4" s="523" t="s">
        <v>521</v>
      </c>
      <c r="Y4" s="523" t="s">
        <v>520</v>
      </c>
      <c r="Z4" s="523" t="s">
        <v>519</v>
      </c>
      <c r="AA4" s="523" t="s">
        <v>518</v>
      </c>
      <c r="AB4" s="523" t="s">
        <v>517</v>
      </c>
      <c r="AC4" s="523" t="s">
        <v>516</v>
      </c>
      <c r="AD4" s="523" t="s">
        <v>515</v>
      </c>
      <c r="AE4" s="523" t="s">
        <v>514</v>
      </c>
      <c r="AF4" s="523" t="s">
        <v>513</v>
      </c>
      <c r="AG4" s="523" t="s">
        <v>512</v>
      </c>
      <c r="AH4" s="523" t="s">
        <v>511</v>
      </c>
      <c r="AI4" s="523" t="s">
        <v>510</v>
      </c>
      <c r="AJ4" s="523" t="s">
        <v>509</v>
      </c>
      <c r="AK4" s="523" t="s">
        <v>508</v>
      </c>
      <c r="AL4" s="523" t="s">
        <v>507</v>
      </c>
      <c r="AM4" s="523" t="s">
        <v>506</v>
      </c>
      <c r="AN4" s="523" t="s">
        <v>505</v>
      </c>
      <c r="AO4" s="522" t="s">
        <v>504</v>
      </c>
      <c r="AP4" s="522" t="s">
        <v>503</v>
      </c>
      <c r="AQ4" s="521" t="s">
        <v>502</v>
      </c>
      <c r="AR4" s="520" t="s">
        <v>501</v>
      </c>
      <c r="AS4" s="520" t="s">
        <v>500</v>
      </c>
      <c r="AT4" s="520" t="s">
        <v>499</v>
      </c>
    </row>
    <row r="5" spans="1:48" ht="18" customHeight="1" x14ac:dyDescent="0.25">
      <c r="A5" s="518" t="s">
        <v>3</v>
      </c>
      <c r="B5" s="516">
        <f t="shared" ref="B5:B13" si="0">(C5+D5)/2</f>
        <v>6.9320355800790718</v>
      </c>
      <c r="C5" s="515">
        <f t="shared" ref="C5:C13" si="1">(G5*X5+H5*Y5+I5*Z5+J5*AA5+K5*AB5+L5*AC5+M5*AD5)/E5</f>
        <v>8.8836922332446164</v>
      </c>
      <c r="D5" s="515">
        <f t="shared" ref="D5:D13" si="2">(N5*AE5+O5*AF5+P5*AG5+Q5*AH5+R5*AI5+S5*AJ5+T5*AK5+U5*AL5+V5*AM5+W5*AN5)/F5</f>
        <v>4.9803789269135272</v>
      </c>
      <c r="E5" s="315">
        <v>4133</v>
      </c>
      <c r="F5" s="315">
        <v>9263</v>
      </c>
      <c r="G5" s="315">
        <v>1377</v>
      </c>
      <c r="H5" s="315">
        <v>1056</v>
      </c>
      <c r="I5" s="315">
        <v>731</v>
      </c>
      <c r="J5" s="315">
        <v>34</v>
      </c>
      <c r="K5" s="315">
        <v>358</v>
      </c>
      <c r="L5" s="315">
        <v>89</v>
      </c>
      <c r="M5" s="315">
        <v>1255</v>
      </c>
      <c r="N5" s="315">
        <v>192</v>
      </c>
      <c r="O5" s="315">
        <v>612</v>
      </c>
      <c r="P5" s="315">
        <v>0</v>
      </c>
      <c r="Q5" s="315">
        <v>1967</v>
      </c>
      <c r="R5" s="315">
        <v>5335</v>
      </c>
      <c r="S5" s="315">
        <v>121</v>
      </c>
      <c r="T5" s="315">
        <v>264</v>
      </c>
      <c r="U5" s="315">
        <v>0</v>
      </c>
      <c r="V5" s="315">
        <v>0</v>
      </c>
      <c r="W5" s="315">
        <v>937</v>
      </c>
      <c r="X5" s="315">
        <v>6.75</v>
      </c>
      <c r="Y5" s="315">
        <v>9.0500000000000007</v>
      </c>
      <c r="Z5" s="315">
        <v>7.5</v>
      </c>
      <c r="AA5" s="315">
        <v>7.25</v>
      </c>
      <c r="AB5" s="315">
        <v>7.75</v>
      </c>
      <c r="AC5" s="315">
        <v>10</v>
      </c>
      <c r="AD5" s="315">
        <v>6.75</v>
      </c>
      <c r="AE5" s="315">
        <v>9</v>
      </c>
      <c r="AF5" s="315">
        <v>6</v>
      </c>
      <c r="AG5" s="315">
        <v>2</v>
      </c>
      <c r="AH5" s="315">
        <v>5.5</v>
      </c>
      <c r="AI5" s="315">
        <v>5</v>
      </c>
      <c r="AJ5" s="315">
        <v>4.25</v>
      </c>
      <c r="AK5" s="315">
        <v>5</v>
      </c>
      <c r="AL5" s="315">
        <v>3.5</v>
      </c>
      <c r="AM5" s="315">
        <v>3</v>
      </c>
      <c r="AN5" s="315">
        <v>1.5</v>
      </c>
      <c r="AO5" s="315">
        <f t="shared" ref="AO5:AO13" si="3">SUM(E5:F5)</f>
        <v>13396</v>
      </c>
      <c r="AP5" s="514">
        <v>6.1</v>
      </c>
      <c r="AQ5" s="514">
        <v>122.30986086</v>
      </c>
      <c r="AR5" s="513">
        <v>9999.5</v>
      </c>
      <c r="AS5" s="297">
        <v>10433.1</v>
      </c>
      <c r="AT5" s="297">
        <v>10845.9</v>
      </c>
    </row>
    <row r="6" spans="1:48" ht="18" customHeight="1" x14ac:dyDescent="0.25">
      <c r="A6" s="518" t="s">
        <v>58</v>
      </c>
      <c r="B6" s="516">
        <f t="shared" si="0"/>
        <v>6.1147117375378244</v>
      </c>
      <c r="C6" s="515">
        <f t="shared" si="1"/>
        <v>6.5095238095238095</v>
      </c>
      <c r="D6" s="515">
        <f t="shared" si="2"/>
        <v>5.7198996655518393</v>
      </c>
      <c r="E6" s="315">
        <v>378</v>
      </c>
      <c r="F6" s="315">
        <v>1196</v>
      </c>
      <c r="G6" s="315">
        <v>55</v>
      </c>
      <c r="H6" s="315">
        <v>57</v>
      </c>
      <c r="I6" s="315">
        <v>54</v>
      </c>
      <c r="J6" s="315">
        <v>4</v>
      </c>
      <c r="K6" s="315">
        <v>20</v>
      </c>
      <c r="L6" s="315">
        <v>8</v>
      </c>
      <c r="M6" s="315">
        <v>134</v>
      </c>
      <c r="N6" s="315">
        <v>28</v>
      </c>
      <c r="O6" s="315">
        <v>204</v>
      </c>
      <c r="P6" s="315">
        <v>0</v>
      </c>
      <c r="Q6" s="315">
        <v>271</v>
      </c>
      <c r="R6" s="315">
        <v>667</v>
      </c>
      <c r="S6" s="315">
        <v>14</v>
      </c>
      <c r="T6" s="315">
        <v>27</v>
      </c>
      <c r="U6" s="315">
        <v>0</v>
      </c>
      <c r="V6" s="315">
        <v>0</v>
      </c>
      <c r="W6" s="315">
        <v>230</v>
      </c>
      <c r="X6" s="315">
        <v>6.75</v>
      </c>
      <c r="Y6" s="315">
        <v>9.0500000000000007</v>
      </c>
      <c r="Z6" s="315">
        <v>7.5</v>
      </c>
      <c r="AA6" s="315">
        <v>7.25</v>
      </c>
      <c r="AB6" s="315">
        <v>7.75</v>
      </c>
      <c r="AC6" s="315">
        <v>10</v>
      </c>
      <c r="AD6" s="315">
        <v>6.75</v>
      </c>
      <c r="AE6" s="315">
        <v>9</v>
      </c>
      <c r="AF6" s="315">
        <v>6</v>
      </c>
      <c r="AG6" s="315">
        <v>2</v>
      </c>
      <c r="AH6" s="315">
        <v>5.5</v>
      </c>
      <c r="AI6" s="315">
        <v>5</v>
      </c>
      <c r="AJ6" s="315">
        <v>4.25</v>
      </c>
      <c r="AK6" s="315">
        <v>5</v>
      </c>
      <c r="AL6" s="315">
        <v>3.5</v>
      </c>
      <c r="AM6" s="315">
        <v>3</v>
      </c>
      <c r="AN6" s="315">
        <v>1.5</v>
      </c>
      <c r="AO6" s="315">
        <f t="shared" si="3"/>
        <v>1574</v>
      </c>
      <c r="AP6" s="514">
        <v>6.26</v>
      </c>
      <c r="AQ6" s="514">
        <v>122.30986086</v>
      </c>
      <c r="AR6" s="513">
        <v>1198.0999999999999</v>
      </c>
      <c r="AS6" s="513">
        <v>1250.0999999999999</v>
      </c>
      <c r="AT6" s="513">
        <v>1299.5</v>
      </c>
    </row>
    <row r="7" spans="1:48" ht="18" customHeight="1" x14ac:dyDescent="0.25">
      <c r="A7" s="517" t="s">
        <v>55</v>
      </c>
      <c r="B7" s="516">
        <f t="shared" si="0"/>
        <v>8.7901643947235133</v>
      </c>
      <c r="C7" s="515">
        <f t="shared" si="1"/>
        <v>10.143956043956043</v>
      </c>
      <c r="D7" s="515">
        <f t="shared" si="2"/>
        <v>7.4363727454909823</v>
      </c>
      <c r="E7" s="315">
        <v>182</v>
      </c>
      <c r="F7" s="315">
        <v>499</v>
      </c>
      <c r="G7" s="315">
        <v>58</v>
      </c>
      <c r="H7" s="315">
        <v>49</v>
      </c>
      <c r="I7" s="315">
        <v>35</v>
      </c>
      <c r="J7" s="315">
        <v>1</v>
      </c>
      <c r="K7" s="315">
        <v>17</v>
      </c>
      <c r="L7" s="315">
        <v>9</v>
      </c>
      <c r="M7" s="315">
        <v>77</v>
      </c>
      <c r="N7" s="315">
        <v>42</v>
      </c>
      <c r="O7" s="315">
        <v>35</v>
      </c>
      <c r="P7" s="315">
        <v>0</v>
      </c>
      <c r="Q7" s="315">
        <v>153</v>
      </c>
      <c r="R7" s="315">
        <v>386</v>
      </c>
      <c r="S7" s="315">
        <v>21</v>
      </c>
      <c r="T7" s="315">
        <v>23</v>
      </c>
      <c r="U7" s="315">
        <v>0</v>
      </c>
      <c r="V7" s="315">
        <v>0</v>
      </c>
      <c r="W7" s="315">
        <v>98</v>
      </c>
      <c r="X7" s="315">
        <v>6.75</v>
      </c>
      <c r="Y7" s="315">
        <v>9.0500000000000007</v>
      </c>
      <c r="Z7" s="315">
        <v>7.5</v>
      </c>
      <c r="AA7" s="315">
        <v>7.25</v>
      </c>
      <c r="AB7" s="315">
        <v>7.75</v>
      </c>
      <c r="AC7" s="315">
        <v>10</v>
      </c>
      <c r="AD7" s="315">
        <v>6.75</v>
      </c>
      <c r="AE7" s="315">
        <v>9</v>
      </c>
      <c r="AF7" s="315">
        <v>6</v>
      </c>
      <c r="AG7" s="315">
        <v>2</v>
      </c>
      <c r="AH7" s="315">
        <v>5.5</v>
      </c>
      <c r="AI7" s="315">
        <v>5</v>
      </c>
      <c r="AJ7" s="315">
        <v>4.25</v>
      </c>
      <c r="AK7" s="315">
        <v>5</v>
      </c>
      <c r="AL7" s="315">
        <v>3.5</v>
      </c>
      <c r="AM7" s="315">
        <v>3</v>
      </c>
      <c r="AN7" s="315">
        <v>1.5</v>
      </c>
      <c r="AO7" s="315">
        <f t="shared" si="3"/>
        <v>681</v>
      </c>
      <c r="AP7" s="514">
        <v>6.04</v>
      </c>
      <c r="AQ7" s="514">
        <v>122.30986086</v>
      </c>
      <c r="AR7" s="513">
        <v>503.2</v>
      </c>
      <c r="AS7" s="513">
        <v>525</v>
      </c>
      <c r="AT7" s="513">
        <v>545.79999999999995</v>
      </c>
    </row>
    <row r="8" spans="1:48" ht="18" customHeight="1" x14ac:dyDescent="0.25">
      <c r="A8" s="517" t="s">
        <v>498</v>
      </c>
      <c r="B8" s="516">
        <f t="shared" si="0"/>
        <v>10.189831662568565</v>
      </c>
      <c r="C8" s="515">
        <f t="shared" si="1"/>
        <v>12.587058823529413</v>
      </c>
      <c r="D8" s="515">
        <f t="shared" si="2"/>
        <v>7.792604501607717</v>
      </c>
      <c r="E8" s="315">
        <v>85</v>
      </c>
      <c r="F8" s="315">
        <v>311</v>
      </c>
      <c r="G8" s="315">
        <v>45</v>
      </c>
      <c r="H8" s="315">
        <v>23</v>
      </c>
      <c r="I8" s="315">
        <v>8</v>
      </c>
      <c r="J8" s="315">
        <v>3</v>
      </c>
      <c r="K8" s="315">
        <v>14</v>
      </c>
      <c r="L8" s="315">
        <v>1</v>
      </c>
      <c r="M8" s="315">
        <v>53</v>
      </c>
      <c r="N8" s="315">
        <v>12</v>
      </c>
      <c r="O8" s="315">
        <v>18</v>
      </c>
      <c r="P8" s="315">
        <v>0</v>
      </c>
      <c r="Q8" s="315">
        <v>119</v>
      </c>
      <c r="R8" s="315">
        <v>289</v>
      </c>
      <c r="S8" s="315">
        <v>0</v>
      </c>
      <c r="T8" s="315">
        <v>3</v>
      </c>
      <c r="U8" s="315">
        <v>0</v>
      </c>
      <c r="V8" s="315">
        <v>0</v>
      </c>
      <c r="W8" s="315">
        <v>62</v>
      </c>
      <c r="X8" s="315">
        <v>6.75</v>
      </c>
      <c r="Y8" s="315">
        <v>9.0500000000000007</v>
      </c>
      <c r="Z8" s="315">
        <v>7.5</v>
      </c>
      <c r="AA8" s="315">
        <v>7.25</v>
      </c>
      <c r="AB8" s="315">
        <v>7.75</v>
      </c>
      <c r="AC8" s="315">
        <v>10</v>
      </c>
      <c r="AD8" s="315">
        <v>6.75</v>
      </c>
      <c r="AE8" s="315">
        <v>9</v>
      </c>
      <c r="AF8" s="315">
        <v>6</v>
      </c>
      <c r="AG8" s="315">
        <v>2</v>
      </c>
      <c r="AH8" s="315">
        <v>5.5</v>
      </c>
      <c r="AI8" s="315">
        <v>5</v>
      </c>
      <c r="AJ8" s="315">
        <v>4.25</v>
      </c>
      <c r="AK8" s="315">
        <v>5</v>
      </c>
      <c r="AL8" s="315">
        <v>3.5</v>
      </c>
      <c r="AM8" s="315">
        <v>3</v>
      </c>
      <c r="AN8" s="315">
        <v>1.5</v>
      </c>
      <c r="AO8" s="315">
        <f t="shared" si="3"/>
        <v>396</v>
      </c>
      <c r="AP8" s="514">
        <v>6.2</v>
      </c>
      <c r="AQ8" s="514">
        <v>122.30986086</v>
      </c>
      <c r="AR8" s="513">
        <v>300.10000000000002</v>
      </c>
      <c r="AS8" s="513">
        <v>313.10000000000002</v>
      </c>
      <c r="AT8" s="513">
        <v>325.5</v>
      </c>
    </row>
    <row r="9" spans="1:48" ht="18" customHeight="1" x14ac:dyDescent="0.25">
      <c r="A9" s="517" t="s">
        <v>57</v>
      </c>
      <c r="B9" s="516">
        <f t="shared" si="0"/>
        <v>9.3819424321452729</v>
      </c>
      <c r="C9" s="515">
        <f t="shared" si="1"/>
        <v>12.181372549019608</v>
      </c>
      <c r="D9" s="515">
        <f t="shared" si="2"/>
        <v>6.5825123152709359</v>
      </c>
      <c r="E9" s="315">
        <v>102</v>
      </c>
      <c r="F9" s="315">
        <v>406</v>
      </c>
      <c r="G9" s="315">
        <v>32</v>
      </c>
      <c r="H9" s="315">
        <v>25</v>
      </c>
      <c r="I9" s="315">
        <v>23</v>
      </c>
      <c r="J9" s="315">
        <v>0</v>
      </c>
      <c r="K9" s="315">
        <v>14</v>
      </c>
      <c r="L9" s="315">
        <v>4</v>
      </c>
      <c r="M9" s="315">
        <v>71</v>
      </c>
      <c r="N9" s="315">
        <v>23</v>
      </c>
      <c r="O9" s="315">
        <v>31</v>
      </c>
      <c r="P9" s="315">
        <v>0</v>
      </c>
      <c r="Q9" s="315">
        <v>118</v>
      </c>
      <c r="R9" s="315">
        <v>280</v>
      </c>
      <c r="S9" s="315">
        <v>20</v>
      </c>
      <c r="T9" s="315">
        <v>12</v>
      </c>
      <c r="U9" s="315">
        <v>0</v>
      </c>
      <c r="V9" s="315">
        <v>0</v>
      </c>
      <c r="W9" s="315">
        <v>57</v>
      </c>
      <c r="X9" s="315">
        <v>6.75</v>
      </c>
      <c r="Y9" s="315">
        <v>9.0500000000000007</v>
      </c>
      <c r="Z9" s="315">
        <v>7.5</v>
      </c>
      <c r="AA9" s="315">
        <v>7.25</v>
      </c>
      <c r="AB9" s="315">
        <v>7.75</v>
      </c>
      <c r="AC9" s="315">
        <v>10</v>
      </c>
      <c r="AD9" s="315">
        <v>6.75</v>
      </c>
      <c r="AE9" s="315">
        <v>9</v>
      </c>
      <c r="AF9" s="315">
        <v>6</v>
      </c>
      <c r="AG9" s="315">
        <v>2</v>
      </c>
      <c r="AH9" s="315">
        <v>5.5</v>
      </c>
      <c r="AI9" s="315">
        <v>5</v>
      </c>
      <c r="AJ9" s="315">
        <v>4.25</v>
      </c>
      <c r="AK9" s="315">
        <v>5</v>
      </c>
      <c r="AL9" s="315">
        <v>3.5</v>
      </c>
      <c r="AM9" s="315">
        <v>3</v>
      </c>
      <c r="AN9" s="315">
        <v>1.5</v>
      </c>
      <c r="AO9" s="315">
        <f t="shared" si="3"/>
        <v>508</v>
      </c>
      <c r="AP9" s="514">
        <v>6.28</v>
      </c>
      <c r="AQ9" s="514">
        <v>122.30986086</v>
      </c>
      <c r="AR9" s="513">
        <v>390.4</v>
      </c>
      <c r="AS9" s="513">
        <v>407.3</v>
      </c>
      <c r="AT9" s="513">
        <v>423.4</v>
      </c>
    </row>
    <row r="10" spans="1:48" ht="18" customHeight="1" x14ac:dyDescent="0.25">
      <c r="A10" s="517" t="s">
        <v>61</v>
      </c>
      <c r="B10" s="516">
        <f t="shared" si="0"/>
        <v>6.9698310635889662</v>
      </c>
      <c r="C10" s="515">
        <f t="shared" si="1"/>
        <v>7.918439716312057</v>
      </c>
      <c r="D10" s="515">
        <f t="shared" si="2"/>
        <v>6.0212224108658745</v>
      </c>
      <c r="E10" s="315">
        <v>282</v>
      </c>
      <c r="F10" s="315">
        <v>1178</v>
      </c>
      <c r="G10" s="315">
        <v>58</v>
      </c>
      <c r="H10" s="315">
        <v>50</v>
      </c>
      <c r="I10" s="315">
        <v>49</v>
      </c>
      <c r="J10" s="315">
        <v>0</v>
      </c>
      <c r="K10" s="315">
        <v>20</v>
      </c>
      <c r="L10" s="315">
        <v>7</v>
      </c>
      <c r="M10" s="315">
        <v>118</v>
      </c>
      <c r="N10" s="315">
        <v>58</v>
      </c>
      <c r="O10" s="315">
        <v>85</v>
      </c>
      <c r="P10" s="315">
        <v>0</v>
      </c>
      <c r="Q10" s="315">
        <v>398</v>
      </c>
      <c r="R10" s="315">
        <v>692</v>
      </c>
      <c r="S10" s="315">
        <v>22</v>
      </c>
      <c r="T10" s="315">
        <v>28</v>
      </c>
      <c r="U10" s="315">
        <v>0</v>
      </c>
      <c r="V10" s="315">
        <v>0</v>
      </c>
      <c r="W10" s="315">
        <v>119</v>
      </c>
      <c r="X10" s="315">
        <v>6.75</v>
      </c>
      <c r="Y10" s="315">
        <v>9.0500000000000007</v>
      </c>
      <c r="Z10" s="315">
        <v>7.5</v>
      </c>
      <c r="AA10" s="315">
        <v>7.25</v>
      </c>
      <c r="AB10" s="315">
        <v>7.75</v>
      </c>
      <c r="AC10" s="315">
        <v>10</v>
      </c>
      <c r="AD10" s="315">
        <v>6.75</v>
      </c>
      <c r="AE10" s="315">
        <v>9</v>
      </c>
      <c r="AF10" s="315">
        <v>6</v>
      </c>
      <c r="AG10" s="315">
        <v>2</v>
      </c>
      <c r="AH10" s="315">
        <v>5.5</v>
      </c>
      <c r="AI10" s="315">
        <v>5</v>
      </c>
      <c r="AJ10" s="315">
        <v>4.25</v>
      </c>
      <c r="AK10" s="315">
        <v>5</v>
      </c>
      <c r="AL10" s="315">
        <v>3.5</v>
      </c>
      <c r="AM10" s="315">
        <v>3</v>
      </c>
      <c r="AN10" s="315">
        <v>1.5</v>
      </c>
      <c r="AO10" s="315">
        <f t="shared" si="3"/>
        <v>1460</v>
      </c>
      <c r="AP10" s="514">
        <v>6.11</v>
      </c>
      <c r="AQ10" s="514">
        <v>122.30986086</v>
      </c>
      <c r="AR10" s="513">
        <v>1090.2</v>
      </c>
      <c r="AS10" s="513">
        <v>1137.5</v>
      </c>
      <c r="AT10" s="513">
        <v>1182.5</v>
      </c>
    </row>
    <row r="11" spans="1:48" ht="18" customHeight="1" x14ac:dyDescent="0.25">
      <c r="A11" s="517" t="s">
        <v>62</v>
      </c>
      <c r="B11" s="516">
        <f t="shared" si="0"/>
        <v>7.3541310896725065</v>
      </c>
      <c r="C11" s="515">
        <f t="shared" si="1"/>
        <v>10.647305389221556</v>
      </c>
      <c r="D11" s="515">
        <f t="shared" si="2"/>
        <v>4.0609567901234565</v>
      </c>
      <c r="E11" s="315">
        <v>167</v>
      </c>
      <c r="F11" s="315">
        <v>972</v>
      </c>
      <c r="G11" s="315">
        <v>51</v>
      </c>
      <c r="H11" s="315">
        <v>32</v>
      </c>
      <c r="I11" s="315">
        <v>42</v>
      </c>
      <c r="J11" s="315">
        <v>2</v>
      </c>
      <c r="K11" s="315">
        <v>22</v>
      </c>
      <c r="L11" s="315">
        <v>3</v>
      </c>
      <c r="M11" s="315">
        <v>91</v>
      </c>
      <c r="N11" s="315">
        <v>19</v>
      </c>
      <c r="O11" s="315">
        <v>7</v>
      </c>
      <c r="P11" s="315">
        <v>0</v>
      </c>
      <c r="Q11" s="315">
        <v>253</v>
      </c>
      <c r="R11" s="315">
        <v>389</v>
      </c>
      <c r="S11" s="315">
        <v>19</v>
      </c>
      <c r="T11" s="315">
        <v>25</v>
      </c>
      <c r="U11" s="315">
        <v>0</v>
      </c>
      <c r="V11" s="315">
        <v>0</v>
      </c>
      <c r="W11" s="315">
        <v>128</v>
      </c>
      <c r="X11" s="315">
        <v>6.75</v>
      </c>
      <c r="Y11" s="315">
        <v>9.0500000000000007</v>
      </c>
      <c r="Z11" s="315">
        <v>7.5</v>
      </c>
      <c r="AA11" s="315">
        <v>7.25</v>
      </c>
      <c r="AB11" s="315">
        <v>7.75</v>
      </c>
      <c r="AC11" s="315">
        <v>10</v>
      </c>
      <c r="AD11" s="315">
        <v>6.75</v>
      </c>
      <c r="AE11" s="315">
        <v>9</v>
      </c>
      <c r="AF11" s="315">
        <v>6</v>
      </c>
      <c r="AG11" s="315">
        <v>2</v>
      </c>
      <c r="AH11" s="315">
        <v>5.5</v>
      </c>
      <c r="AI11" s="315">
        <v>5</v>
      </c>
      <c r="AJ11" s="315">
        <v>4.25</v>
      </c>
      <c r="AK11" s="315">
        <v>5</v>
      </c>
      <c r="AL11" s="315">
        <v>3.5</v>
      </c>
      <c r="AM11" s="315">
        <v>3</v>
      </c>
      <c r="AN11" s="315">
        <v>1.5</v>
      </c>
      <c r="AO11" s="315">
        <f t="shared" si="3"/>
        <v>1139</v>
      </c>
      <c r="AP11" s="514">
        <v>6.06</v>
      </c>
      <c r="AQ11" s="514">
        <v>122.30986086</v>
      </c>
      <c r="AR11" s="513">
        <v>844.1</v>
      </c>
      <c r="AS11" s="513">
        <v>880.7</v>
      </c>
      <c r="AT11" s="513">
        <v>915.6</v>
      </c>
    </row>
    <row r="12" spans="1:48" ht="18" customHeight="1" x14ac:dyDescent="0.25">
      <c r="A12" s="517" t="s">
        <v>63</v>
      </c>
      <c r="B12" s="516">
        <f t="shared" si="0"/>
        <v>8.9336639958587476</v>
      </c>
      <c r="C12" s="515">
        <f t="shared" si="1"/>
        <v>10.757773851590105</v>
      </c>
      <c r="D12" s="515">
        <f t="shared" si="2"/>
        <v>7.109554140127389</v>
      </c>
      <c r="E12" s="315">
        <v>283</v>
      </c>
      <c r="F12" s="315">
        <v>785</v>
      </c>
      <c r="G12" s="315">
        <v>103</v>
      </c>
      <c r="H12" s="315">
        <v>84</v>
      </c>
      <c r="I12" s="315">
        <v>63</v>
      </c>
      <c r="J12" s="315">
        <v>0</v>
      </c>
      <c r="K12" s="315">
        <v>34</v>
      </c>
      <c r="L12" s="315">
        <v>7</v>
      </c>
      <c r="M12" s="315">
        <v>116</v>
      </c>
      <c r="N12" s="315">
        <v>39</v>
      </c>
      <c r="O12" s="315">
        <v>91</v>
      </c>
      <c r="P12" s="315">
        <v>0</v>
      </c>
      <c r="Q12" s="315">
        <v>243</v>
      </c>
      <c r="R12" s="315">
        <v>527</v>
      </c>
      <c r="S12" s="315">
        <v>46</v>
      </c>
      <c r="T12" s="315">
        <v>29</v>
      </c>
      <c r="U12" s="315">
        <v>0</v>
      </c>
      <c r="V12" s="315">
        <v>0</v>
      </c>
      <c r="W12" s="315">
        <v>248</v>
      </c>
      <c r="X12" s="315">
        <v>6.75</v>
      </c>
      <c r="Y12" s="315">
        <v>9.0500000000000007</v>
      </c>
      <c r="Z12" s="315">
        <v>7.5</v>
      </c>
      <c r="AA12" s="315">
        <v>7.25</v>
      </c>
      <c r="AB12" s="315">
        <v>7.75</v>
      </c>
      <c r="AC12" s="315">
        <v>10</v>
      </c>
      <c r="AD12" s="315">
        <v>6.75</v>
      </c>
      <c r="AE12" s="315">
        <v>9</v>
      </c>
      <c r="AF12" s="315">
        <v>6</v>
      </c>
      <c r="AG12" s="315">
        <v>2</v>
      </c>
      <c r="AH12" s="315">
        <v>5.5</v>
      </c>
      <c r="AI12" s="315">
        <v>5</v>
      </c>
      <c r="AJ12" s="315">
        <v>4.25</v>
      </c>
      <c r="AK12" s="315">
        <v>5</v>
      </c>
      <c r="AL12" s="315">
        <v>3.5</v>
      </c>
      <c r="AM12" s="315">
        <v>3</v>
      </c>
      <c r="AN12" s="315">
        <v>1.5</v>
      </c>
      <c r="AO12" s="315">
        <f t="shared" si="3"/>
        <v>1068</v>
      </c>
      <c r="AP12" s="514">
        <v>6.16</v>
      </c>
      <c r="AQ12" s="514">
        <v>122.30986086</v>
      </c>
      <c r="AR12" s="513">
        <v>804.3</v>
      </c>
      <c r="AS12" s="513">
        <v>839.1</v>
      </c>
      <c r="AT12" s="513">
        <v>872.3</v>
      </c>
    </row>
    <row r="13" spans="1:48" ht="18" customHeight="1" x14ac:dyDescent="0.25">
      <c r="A13" s="517" t="s">
        <v>64</v>
      </c>
      <c r="B13" s="516">
        <f t="shared" si="0"/>
        <v>4.9423008648311066</v>
      </c>
      <c r="C13" s="515">
        <f t="shared" si="1"/>
        <v>6.8457912457912462</v>
      </c>
      <c r="D13" s="515">
        <f t="shared" si="2"/>
        <v>3.0388104838709675</v>
      </c>
      <c r="E13" s="315">
        <v>297</v>
      </c>
      <c r="F13" s="315">
        <v>992</v>
      </c>
      <c r="G13" s="315">
        <v>66</v>
      </c>
      <c r="H13" s="315">
        <v>44</v>
      </c>
      <c r="I13" s="315">
        <v>32</v>
      </c>
      <c r="J13" s="315">
        <v>3</v>
      </c>
      <c r="K13" s="315">
        <v>24</v>
      </c>
      <c r="L13" s="315">
        <v>6</v>
      </c>
      <c r="M13" s="315">
        <v>101</v>
      </c>
      <c r="N13" s="315">
        <v>16</v>
      </c>
      <c r="O13" s="315">
        <v>52</v>
      </c>
      <c r="P13" s="315">
        <v>1</v>
      </c>
      <c r="Q13" s="315">
        <v>324</v>
      </c>
      <c r="R13" s="315">
        <v>98</v>
      </c>
      <c r="S13" s="315">
        <v>6</v>
      </c>
      <c r="T13" s="315">
        <v>20</v>
      </c>
      <c r="U13" s="315">
        <v>0</v>
      </c>
      <c r="V13" s="315">
        <v>0</v>
      </c>
      <c r="W13" s="315">
        <v>106</v>
      </c>
      <c r="X13" s="315">
        <v>6.75</v>
      </c>
      <c r="Y13" s="315">
        <v>9.0500000000000007</v>
      </c>
      <c r="Z13" s="315">
        <v>7.5</v>
      </c>
      <c r="AA13" s="315">
        <v>7.25</v>
      </c>
      <c r="AB13" s="315">
        <v>7.75</v>
      </c>
      <c r="AC13" s="315">
        <v>10</v>
      </c>
      <c r="AD13" s="315">
        <v>6.75</v>
      </c>
      <c r="AE13" s="315">
        <v>9</v>
      </c>
      <c r="AF13" s="315">
        <v>6</v>
      </c>
      <c r="AG13" s="315">
        <v>2</v>
      </c>
      <c r="AH13" s="315">
        <v>5.5</v>
      </c>
      <c r="AI13" s="315">
        <v>5</v>
      </c>
      <c r="AJ13" s="315">
        <v>4.25</v>
      </c>
      <c r="AK13" s="315">
        <v>5</v>
      </c>
      <c r="AL13" s="315">
        <v>3.5</v>
      </c>
      <c r="AM13" s="315">
        <v>3</v>
      </c>
      <c r="AN13" s="315">
        <v>1.5</v>
      </c>
      <c r="AO13" s="315">
        <f t="shared" si="3"/>
        <v>1289</v>
      </c>
      <c r="AP13" s="514">
        <v>6.13</v>
      </c>
      <c r="AQ13" s="514">
        <v>122.30986086</v>
      </c>
      <c r="AR13" s="513">
        <v>966.2</v>
      </c>
      <c r="AS13" s="513">
        <v>1008.1</v>
      </c>
      <c r="AT13" s="513">
        <v>1048</v>
      </c>
    </row>
    <row r="14" spans="1:48" ht="31.5" customHeight="1" x14ac:dyDescent="0.25">
      <c r="A14" s="517" t="s">
        <v>497</v>
      </c>
      <c r="B14" s="516"/>
      <c r="C14" s="515"/>
      <c r="D14" s="515"/>
      <c r="E14" s="315">
        <f>SUM(E5:E13)</f>
        <v>5909</v>
      </c>
      <c r="F14" s="315">
        <f>SUM(F5:F13)</f>
        <v>15602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>
        <f>SUM(AO5:AO13)</f>
        <v>21511</v>
      </c>
      <c r="AP14" s="514"/>
      <c r="AQ14" s="514"/>
      <c r="AR14" s="513">
        <f>SUM(AR5:AR13)</f>
        <v>16096.100000000002</v>
      </c>
      <c r="AS14" s="513">
        <f>SUM(AS5:AS13)</f>
        <v>16794</v>
      </c>
      <c r="AT14" s="513">
        <f>SUM(AT5:AT13)</f>
        <v>17458.5</v>
      </c>
    </row>
    <row r="15" spans="1:48" x14ac:dyDescent="0.25">
      <c r="E15" s="512"/>
      <c r="AV15" s="727"/>
    </row>
    <row r="16" spans="1:48" x14ac:dyDescent="0.25">
      <c r="AO16" s="502"/>
      <c r="AP16" s="502"/>
      <c r="AQ16" s="511"/>
      <c r="AR16" s="510"/>
      <c r="AT16" s="506"/>
    </row>
    <row r="17" spans="1:46" ht="22.5" customHeight="1" x14ac:dyDescent="0.25">
      <c r="A17" s="509"/>
      <c r="B17" s="507"/>
      <c r="C17" s="507"/>
      <c r="D17" s="507"/>
      <c r="E17" s="508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T17" s="506"/>
    </row>
    <row r="18" spans="1:46" ht="15.75" customHeight="1" x14ac:dyDescent="0.25">
      <c r="AQ18" s="505"/>
      <c r="AT18" s="506"/>
    </row>
    <row r="19" spans="1:46" x14ac:dyDescent="0.25">
      <c r="E19" s="73"/>
    </row>
    <row r="20" spans="1:46" x14ac:dyDescent="0.25">
      <c r="AQ20" s="505"/>
    </row>
    <row r="21" spans="1:46" x14ac:dyDescent="0.25">
      <c r="A21" s="504"/>
    </row>
    <row r="24" spans="1:46" x14ac:dyDescent="0.25">
      <c r="A24" s="504"/>
    </row>
  </sheetData>
  <mergeCells count="2">
    <mergeCell ref="A2:AT2"/>
    <mergeCell ref="A1:AT1"/>
  </mergeCells>
  <pageMargins left="0.39" right="0.32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4"/>
  <sheetViews>
    <sheetView workbookViewId="0">
      <selection activeCell="R25" sqref="R25"/>
    </sheetView>
  </sheetViews>
  <sheetFormatPr defaultRowHeight="12.75" x14ac:dyDescent="0.2"/>
  <cols>
    <col min="1" max="1" width="27.28515625" customWidth="1"/>
    <col min="2" max="2" width="15" customWidth="1"/>
    <col min="3" max="3" width="11.140625" customWidth="1"/>
    <col min="5" max="5" width="10.7109375" bestFit="1" customWidth="1"/>
    <col min="12" max="12" width="12.42578125" customWidth="1"/>
    <col min="13" max="13" width="12" customWidth="1"/>
  </cols>
  <sheetData>
    <row r="1" spans="1:13" ht="20.25" customHeight="1" x14ac:dyDescent="0.2">
      <c r="A1" s="930" t="s">
        <v>53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3" ht="30.75" customHeight="1" x14ac:dyDescent="0.25">
      <c r="A2" s="729" t="s">
        <v>567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spans="1:13" ht="15.75" x14ac:dyDescent="0.2">
      <c r="A3" s="929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</row>
    <row r="4" spans="1:13" ht="94.5" x14ac:dyDescent="0.2">
      <c r="A4" s="531" t="s">
        <v>566</v>
      </c>
      <c r="B4" s="543" t="s">
        <v>565</v>
      </c>
      <c r="C4" s="542" t="s">
        <v>564</v>
      </c>
      <c r="D4" s="542" t="s">
        <v>563</v>
      </c>
      <c r="E4" s="542" t="s">
        <v>562</v>
      </c>
      <c r="F4" s="542" t="s">
        <v>561</v>
      </c>
      <c r="G4" s="542" t="s">
        <v>560</v>
      </c>
      <c r="H4" s="542" t="s">
        <v>559</v>
      </c>
      <c r="I4" s="542" t="s">
        <v>558</v>
      </c>
      <c r="J4" s="542" t="s">
        <v>557</v>
      </c>
      <c r="K4" s="542" t="s">
        <v>556</v>
      </c>
      <c r="L4" s="542" t="s">
        <v>555</v>
      </c>
      <c r="M4" s="542" t="s">
        <v>554</v>
      </c>
    </row>
    <row r="5" spans="1:13" ht="15.75" x14ac:dyDescent="0.25">
      <c r="A5" s="541" t="s">
        <v>553</v>
      </c>
      <c r="B5" s="540">
        <v>131156</v>
      </c>
      <c r="C5" s="539">
        <v>1.4990000000000001</v>
      </c>
      <c r="D5" s="538">
        <v>2.5</v>
      </c>
      <c r="E5" s="538">
        <v>616835.52</v>
      </c>
      <c r="F5" s="536">
        <f t="shared" ref="F5:F13" si="0">6*1572</f>
        <v>9432</v>
      </c>
      <c r="G5" s="536">
        <f t="shared" ref="G5:G13" si="1">ROUND(0.45*J5*H5,0)</f>
        <v>7924</v>
      </c>
      <c r="H5" s="536">
        <v>71</v>
      </c>
      <c r="I5" s="537">
        <v>1.4</v>
      </c>
      <c r="J5" s="536">
        <v>248</v>
      </c>
      <c r="K5" s="535">
        <v>31.35</v>
      </c>
      <c r="L5" s="534">
        <v>5934.3</v>
      </c>
      <c r="M5" s="534">
        <v>230.5</v>
      </c>
    </row>
    <row r="6" spans="1:13" ht="15.75" x14ac:dyDescent="0.25">
      <c r="A6" s="541" t="s">
        <v>552</v>
      </c>
      <c r="B6" s="540">
        <v>18966</v>
      </c>
      <c r="C6" s="539">
        <v>1.44</v>
      </c>
      <c r="D6" s="538">
        <v>2.5</v>
      </c>
      <c r="E6" s="538">
        <v>616835.52</v>
      </c>
      <c r="F6" s="536">
        <f t="shared" si="0"/>
        <v>9432</v>
      </c>
      <c r="G6" s="536">
        <f t="shared" si="1"/>
        <v>7924</v>
      </c>
      <c r="H6" s="536">
        <v>71</v>
      </c>
      <c r="I6" s="537">
        <v>1.4</v>
      </c>
      <c r="J6" s="536">
        <v>248</v>
      </c>
      <c r="K6" s="535">
        <v>31.35</v>
      </c>
      <c r="L6" s="534">
        <v>801.5</v>
      </c>
      <c r="M6" s="534"/>
    </row>
    <row r="7" spans="1:13" ht="15.75" x14ac:dyDescent="0.25">
      <c r="A7" s="541" t="s">
        <v>551</v>
      </c>
      <c r="B7" s="540">
        <v>5033</v>
      </c>
      <c r="C7" s="539">
        <f>[1]Лист2!G8</f>
        <v>1.4</v>
      </c>
      <c r="D7" s="538">
        <v>2.5</v>
      </c>
      <c r="E7" s="538">
        <v>616835.52</v>
      </c>
      <c r="F7" s="536">
        <f t="shared" si="0"/>
        <v>9432</v>
      </c>
      <c r="G7" s="536">
        <f t="shared" si="1"/>
        <v>7924</v>
      </c>
      <c r="H7" s="536">
        <v>71</v>
      </c>
      <c r="I7" s="537">
        <v>1.4</v>
      </c>
      <c r="J7" s="536">
        <v>248</v>
      </c>
      <c r="K7" s="535">
        <v>31.35</v>
      </c>
      <c r="L7" s="534">
        <v>212.7</v>
      </c>
      <c r="M7" s="534"/>
    </row>
    <row r="8" spans="1:13" ht="15.75" x14ac:dyDescent="0.25">
      <c r="A8" s="541" t="s">
        <v>550</v>
      </c>
      <c r="B8" s="540">
        <v>5434</v>
      </c>
      <c r="C8" s="539">
        <f>[1]Лист2!G9</f>
        <v>1.4</v>
      </c>
      <c r="D8" s="538">
        <v>2.5</v>
      </c>
      <c r="E8" s="538">
        <v>616835.52</v>
      </c>
      <c r="F8" s="536">
        <f t="shared" si="0"/>
        <v>9432</v>
      </c>
      <c r="G8" s="536">
        <f t="shared" si="1"/>
        <v>7924</v>
      </c>
      <c r="H8" s="536">
        <v>71</v>
      </c>
      <c r="I8" s="537">
        <v>1.4</v>
      </c>
      <c r="J8" s="536">
        <v>248</v>
      </c>
      <c r="K8" s="535">
        <v>31.35</v>
      </c>
      <c r="L8" s="534">
        <v>229.6</v>
      </c>
      <c r="M8" s="534"/>
    </row>
    <row r="9" spans="1:13" ht="15.75" x14ac:dyDescent="0.25">
      <c r="A9" s="541" t="s">
        <v>549</v>
      </c>
      <c r="B9" s="540">
        <v>11854</v>
      </c>
      <c r="C9" s="539">
        <f>[1]Лист2!G10</f>
        <v>1.4000000000000001</v>
      </c>
      <c r="D9" s="538">
        <v>2.5</v>
      </c>
      <c r="E9" s="538">
        <v>616835.52</v>
      </c>
      <c r="F9" s="536">
        <f t="shared" si="0"/>
        <v>9432</v>
      </c>
      <c r="G9" s="536">
        <f t="shared" si="1"/>
        <v>7924</v>
      </c>
      <c r="H9" s="536">
        <v>71</v>
      </c>
      <c r="I9" s="537">
        <v>1.4</v>
      </c>
      <c r="J9" s="536">
        <v>248</v>
      </c>
      <c r="K9" s="535">
        <v>31.35</v>
      </c>
      <c r="L9" s="534">
        <v>500.9</v>
      </c>
      <c r="M9" s="534"/>
    </row>
    <row r="10" spans="1:13" ht="15.75" x14ac:dyDescent="0.25">
      <c r="A10" s="541" t="s">
        <v>548</v>
      </c>
      <c r="B10" s="540">
        <v>22851</v>
      </c>
      <c r="C10" s="539">
        <f>[1]Лист2!G11</f>
        <v>1.4</v>
      </c>
      <c r="D10" s="538">
        <v>2.5</v>
      </c>
      <c r="E10" s="538">
        <v>616835.52</v>
      </c>
      <c r="F10" s="536">
        <f t="shared" si="0"/>
        <v>9432</v>
      </c>
      <c r="G10" s="536">
        <f t="shared" si="1"/>
        <v>7924</v>
      </c>
      <c r="H10" s="536">
        <v>71</v>
      </c>
      <c r="I10" s="537">
        <v>1.4</v>
      </c>
      <c r="J10" s="536">
        <v>248</v>
      </c>
      <c r="K10" s="535">
        <v>31.35</v>
      </c>
      <c r="L10" s="534">
        <v>1015.6</v>
      </c>
      <c r="M10" s="534"/>
    </row>
    <row r="11" spans="1:13" ht="15.75" x14ac:dyDescent="0.25">
      <c r="A11" s="541" t="s">
        <v>547</v>
      </c>
      <c r="B11" s="540">
        <v>12844</v>
      </c>
      <c r="C11" s="539">
        <f>[1]Лист2!G12</f>
        <v>1.4724193027337098</v>
      </c>
      <c r="D11" s="538">
        <v>2.5</v>
      </c>
      <c r="E11" s="538">
        <v>616835.52</v>
      </c>
      <c r="F11" s="536">
        <f t="shared" si="0"/>
        <v>9432</v>
      </c>
      <c r="G11" s="536">
        <f t="shared" si="1"/>
        <v>7924</v>
      </c>
      <c r="H11" s="536">
        <v>71</v>
      </c>
      <c r="I11" s="537">
        <v>1.4</v>
      </c>
      <c r="J11" s="536">
        <v>248</v>
      </c>
      <c r="K11" s="535">
        <v>31.35</v>
      </c>
      <c r="L11" s="534">
        <v>563</v>
      </c>
      <c r="M11" s="534"/>
    </row>
    <row r="12" spans="1:13" ht="15.75" x14ac:dyDescent="0.25">
      <c r="A12" s="541" t="s">
        <v>546</v>
      </c>
      <c r="B12" s="540">
        <v>9253</v>
      </c>
      <c r="C12" s="539">
        <f>[1]Лист2!G13</f>
        <v>1.452153646957272</v>
      </c>
      <c r="D12" s="538">
        <v>2.5</v>
      </c>
      <c r="E12" s="538">
        <v>616835.52</v>
      </c>
      <c r="F12" s="536">
        <f t="shared" si="0"/>
        <v>9432</v>
      </c>
      <c r="G12" s="536">
        <f t="shared" si="1"/>
        <v>7924</v>
      </c>
      <c r="H12" s="536">
        <v>71</v>
      </c>
      <c r="I12" s="537">
        <v>1.4</v>
      </c>
      <c r="J12" s="536">
        <v>248</v>
      </c>
      <c r="K12" s="535">
        <v>31.35</v>
      </c>
      <c r="L12" s="534">
        <v>391</v>
      </c>
      <c r="M12" s="534"/>
    </row>
    <row r="13" spans="1:13" ht="15.75" x14ac:dyDescent="0.25">
      <c r="A13" s="541" t="s">
        <v>545</v>
      </c>
      <c r="B13" s="540">
        <v>28570</v>
      </c>
      <c r="C13" s="539">
        <f>[1]Лист2!G14</f>
        <v>1.4</v>
      </c>
      <c r="D13" s="538">
        <v>2.5</v>
      </c>
      <c r="E13" s="538">
        <v>616835.52</v>
      </c>
      <c r="F13" s="536">
        <f t="shared" si="0"/>
        <v>9432</v>
      </c>
      <c r="G13" s="536">
        <f t="shared" si="1"/>
        <v>7924</v>
      </c>
      <c r="H13" s="536">
        <v>71</v>
      </c>
      <c r="I13" s="537">
        <v>1.4</v>
      </c>
      <c r="J13" s="536">
        <v>248</v>
      </c>
      <c r="K13" s="535">
        <v>31.35</v>
      </c>
      <c r="L13" s="534">
        <v>1207.3</v>
      </c>
      <c r="M13" s="534"/>
    </row>
    <row r="14" spans="1:13" ht="15.75" x14ac:dyDescent="0.2">
      <c r="A14" s="533" t="s">
        <v>29</v>
      </c>
      <c r="B14" s="532">
        <f>SUM(B5:B13)</f>
        <v>245961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0">
        <f>SUM(L5:L13)</f>
        <v>10855.9</v>
      </c>
      <c r="M14" s="530">
        <f>SUM(M5:M13)</f>
        <v>230.5</v>
      </c>
    </row>
  </sheetData>
  <mergeCells count="3">
    <mergeCell ref="A3:L3"/>
    <mergeCell ref="A1:L1"/>
    <mergeCell ref="A2:L2"/>
  </mergeCells>
  <pageMargins left="0.7" right="0.7" top="0.75" bottom="0.75" header="0.3" footer="0.3"/>
  <pageSetup paperSize="9" scale="87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"/>
  <sheetViews>
    <sheetView view="pageBreakPreview" zoomScale="78" zoomScaleNormal="100" zoomScaleSheetLayoutView="78" workbookViewId="0">
      <selection activeCell="G12" sqref="G12"/>
    </sheetView>
  </sheetViews>
  <sheetFormatPr defaultColWidth="29.5703125" defaultRowHeight="15.75" x14ac:dyDescent="0.25"/>
  <cols>
    <col min="1" max="1" width="46.7109375" style="209" customWidth="1"/>
    <col min="2" max="2" width="27.28515625" style="209" customWidth="1"/>
    <col min="3" max="3" width="17.42578125" style="209" customWidth="1"/>
    <col min="4" max="4" width="18" style="209" customWidth="1"/>
    <col min="5" max="5" width="33.42578125" style="209" bestFit="1" customWidth="1"/>
    <col min="6" max="6" width="29.42578125" style="209" customWidth="1"/>
    <col min="7" max="7" width="28.140625" style="209" customWidth="1"/>
    <col min="8" max="8" width="9.140625" style="209" hidden="1" customWidth="1"/>
    <col min="9" max="9" width="16.5703125" style="209" hidden="1" customWidth="1"/>
    <col min="10" max="254" width="9.140625" style="209" customWidth="1"/>
    <col min="255" max="255" width="54.28515625" style="209" customWidth="1"/>
    <col min="256" max="16384" width="29.5703125" style="209"/>
  </cols>
  <sheetData>
    <row r="1" spans="1:9" x14ac:dyDescent="0.25">
      <c r="A1" s="730" t="s">
        <v>49</v>
      </c>
      <c r="B1" s="730"/>
      <c r="C1" s="730"/>
      <c r="D1" s="730"/>
      <c r="E1" s="730"/>
      <c r="F1" s="730"/>
      <c r="G1" s="730"/>
    </row>
    <row r="2" spans="1:9" ht="33.75" customHeight="1" x14ac:dyDescent="0.25">
      <c r="A2" s="933" t="s">
        <v>578</v>
      </c>
      <c r="B2" s="933"/>
      <c r="C2" s="933"/>
      <c r="D2" s="933"/>
      <c r="E2" s="933"/>
      <c r="F2" s="933"/>
      <c r="G2" s="933"/>
    </row>
    <row r="3" spans="1:9" ht="23.25" customHeight="1" x14ac:dyDescent="0.25">
      <c r="A3" s="933"/>
      <c r="B3" s="933"/>
      <c r="C3" s="933"/>
      <c r="D3" s="933"/>
      <c r="E3" s="933"/>
      <c r="F3" s="933"/>
      <c r="G3" s="933"/>
    </row>
    <row r="4" spans="1:9" x14ac:dyDescent="0.25">
      <c r="B4" s="549"/>
      <c r="C4" s="549"/>
      <c r="D4" s="549"/>
      <c r="E4" s="549"/>
      <c r="F4" s="549"/>
      <c r="G4" s="549"/>
    </row>
    <row r="5" spans="1:9" x14ac:dyDescent="0.25">
      <c r="A5" s="548"/>
      <c r="B5" s="548"/>
      <c r="C5" s="547"/>
      <c r="D5" s="519"/>
      <c r="E5" s="45"/>
      <c r="G5" s="428" t="s">
        <v>15</v>
      </c>
    </row>
    <row r="6" spans="1:9" x14ac:dyDescent="0.25">
      <c r="A6" s="745" t="s">
        <v>188</v>
      </c>
      <c r="B6" s="934" t="s">
        <v>577</v>
      </c>
      <c r="C6" s="934"/>
      <c r="D6" s="934"/>
      <c r="E6" s="934"/>
      <c r="F6" s="934"/>
      <c r="G6" s="934"/>
    </row>
    <row r="7" spans="1:9" ht="225" customHeight="1" x14ac:dyDescent="0.25">
      <c r="A7" s="745"/>
      <c r="B7" s="318" t="s">
        <v>576</v>
      </c>
      <c r="C7" s="318" t="s">
        <v>575</v>
      </c>
      <c r="D7" s="318" t="s">
        <v>574</v>
      </c>
      <c r="E7" s="318" t="s">
        <v>573</v>
      </c>
      <c r="F7" s="318" t="s">
        <v>572</v>
      </c>
      <c r="G7" s="318" t="s">
        <v>571</v>
      </c>
    </row>
    <row r="8" spans="1:9" x14ac:dyDescent="0.25">
      <c r="A8" s="318">
        <v>1</v>
      </c>
      <c r="B8" s="318">
        <v>2</v>
      </c>
      <c r="C8" s="318">
        <v>3</v>
      </c>
      <c r="D8" s="318">
        <v>4</v>
      </c>
      <c r="E8" s="372">
        <v>5</v>
      </c>
      <c r="F8" s="372">
        <v>6</v>
      </c>
      <c r="G8" s="372">
        <v>7</v>
      </c>
    </row>
    <row r="9" spans="1:9" ht="18" customHeight="1" x14ac:dyDescent="0.25">
      <c r="A9" s="93" t="s">
        <v>568</v>
      </c>
      <c r="B9" s="935">
        <v>1220.8</v>
      </c>
      <c r="C9" s="938">
        <v>2.75</v>
      </c>
      <c r="D9" s="538">
        <v>1</v>
      </c>
      <c r="E9" s="297">
        <v>443.9</v>
      </c>
      <c r="F9" s="297">
        <v>451.2</v>
      </c>
      <c r="G9" s="297">
        <v>462.1</v>
      </c>
      <c r="I9" s="546">
        <f>B9/D12</f>
        <v>443.92727272727274</v>
      </c>
    </row>
    <row r="10" spans="1:9" ht="18" customHeight="1" x14ac:dyDescent="0.25">
      <c r="A10" s="93" t="s">
        <v>60</v>
      </c>
      <c r="B10" s="936"/>
      <c r="C10" s="938"/>
      <c r="D10" s="538">
        <v>0.75</v>
      </c>
      <c r="E10" s="297">
        <v>333</v>
      </c>
      <c r="F10" s="297">
        <v>338.5</v>
      </c>
      <c r="G10" s="297">
        <v>346.6</v>
      </c>
      <c r="I10" s="546"/>
    </row>
    <row r="11" spans="1:9" ht="18" customHeight="1" x14ac:dyDescent="0.25">
      <c r="A11" s="93" t="s">
        <v>61</v>
      </c>
      <c r="B11" s="936"/>
      <c r="C11" s="938"/>
      <c r="D11" s="538">
        <v>1</v>
      </c>
      <c r="E11" s="297">
        <v>443.9</v>
      </c>
      <c r="F11" s="297">
        <v>451.2</v>
      </c>
      <c r="G11" s="297">
        <v>462.1</v>
      </c>
      <c r="I11" s="546"/>
    </row>
    <row r="12" spans="1:9" ht="18" customHeight="1" x14ac:dyDescent="0.25">
      <c r="A12" s="372" t="s">
        <v>7</v>
      </c>
      <c r="B12" s="937"/>
      <c r="C12" s="939"/>
      <c r="D12" s="538">
        <f>D9+D10+D11</f>
        <v>2.75</v>
      </c>
      <c r="E12" s="297">
        <f>E9+E10+E11</f>
        <v>1220.8</v>
      </c>
      <c r="F12" s="297">
        <f>F9+F10+F11</f>
        <v>1240.9000000000001</v>
      </c>
      <c r="G12" s="297">
        <f>G9+G10+G11</f>
        <v>1270.8000000000002</v>
      </c>
    </row>
    <row r="13" spans="1:9" ht="42" customHeight="1" x14ac:dyDescent="0.25"/>
    <row r="14" spans="1:9" ht="47.25" x14ac:dyDescent="0.25">
      <c r="A14" s="545" t="s">
        <v>1</v>
      </c>
      <c r="B14" s="314" t="s">
        <v>570</v>
      </c>
      <c r="C14" s="813" t="s">
        <v>569</v>
      </c>
      <c r="D14" s="813"/>
    </row>
    <row r="15" spans="1:9" ht="18" customHeight="1" x14ac:dyDescent="0.25">
      <c r="A15" s="93" t="s">
        <v>568</v>
      </c>
      <c r="B15" s="420">
        <v>625</v>
      </c>
      <c r="C15" s="931">
        <v>1</v>
      </c>
      <c r="D15" s="931"/>
    </row>
    <row r="16" spans="1:9" ht="18" customHeight="1" x14ac:dyDescent="0.25">
      <c r="A16" s="93" t="s">
        <v>60</v>
      </c>
      <c r="B16" s="420">
        <v>457</v>
      </c>
      <c r="C16" s="931">
        <v>0.75</v>
      </c>
      <c r="D16" s="931"/>
    </row>
    <row r="17" spans="1:4" ht="18" customHeight="1" x14ac:dyDescent="0.25">
      <c r="A17" s="93" t="s">
        <v>61</v>
      </c>
      <c r="B17" s="544">
        <v>1738</v>
      </c>
      <c r="C17" s="931">
        <v>1</v>
      </c>
      <c r="D17" s="931"/>
    </row>
    <row r="18" spans="1:4" ht="18" customHeight="1" x14ac:dyDescent="0.25">
      <c r="A18" s="372" t="s">
        <v>7</v>
      </c>
      <c r="B18" s="544">
        <f>B15+B16+B17</f>
        <v>2820</v>
      </c>
      <c r="C18" s="931">
        <f>C15+C16+C17</f>
        <v>2.75</v>
      </c>
      <c r="D18" s="932"/>
    </row>
  </sheetData>
  <mergeCells count="12">
    <mergeCell ref="C17:D17"/>
    <mergeCell ref="C18:D18"/>
    <mergeCell ref="A1:G1"/>
    <mergeCell ref="A2:G2"/>
    <mergeCell ref="A3:G3"/>
    <mergeCell ref="A6:A7"/>
    <mergeCell ref="B6:G6"/>
    <mergeCell ref="B9:B12"/>
    <mergeCell ref="C9:C12"/>
    <mergeCell ref="C14:D14"/>
    <mergeCell ref="C15:D15"/>
    <mergeCell ref="C16:D16"/>
  </mergeCells>
  <pageMargins left="0.45" right="0.3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"/>
  <sheetViews>
    <sheetView workbookViewId="0">
      <selection activeCell="O18" sqref="O18"/>
    </sheetView>
  </sheetViews>
  <sheetFormatPr defaultRowHeight="15" x14ac:dyDescent="0.25"/>
  <cols>
    <col min="1" max="1" width="18.5703125" style="160" customWidth="1"/>
    <col min="2" max="2" width="15.7109375" style="160" customWidth="1"/>
    <col min="3" max="3" width="11.85546875" style="160" customWidth="1"/>
    <col min="4" max="4" width="15.42578125" style="160" customWidth="1"/>
    <col min="5" max="5" width="15" style="160" customWidth="1"/>
    <col min="6" max="6" width="11" style="160" customWidth="1"/>
    <col min="7" max="7" width="10.5703125" style="160" customWidth="1"/>
    <col min="8" max="8" width="11.28515625" style="160" customWidth="1"/>
    <col min="9" max="16384" width="9.140625" style="160"/>
  </cols>
  <sheetData>
    <row r="1" spans="1:9" x14ac:dyDescent="0.25">
      <c r="A1" s="942" t="s">
        <v>53</v>
      </c>
      <c r="B1" s="942"/>
      <c r="C1" s="942"/>
      <c r="D1" s="942"/>
      <c r="E1" s="942"/>
      <c r="F1" s="942"/>
      <c r="G1" s="942"/>
      <c r="H1" s="942"/>
    </row>
    <row r="2" spans="1:9" ht="18" customHeight="1" x14ac:dyDescent="0.25">
      <c r="A2" s="942" t="s">
        <v>697</v>
      </c>
      <c r="B2" s="942"/>
      <c r="C2" s="942"/>
      <c r="D2" s="942"/>
      <c r="E2" s="942"/>
      <c r="F2" s="942"/>
      <c r="G2" s="942"/>
      <c r="H2" s="942"/>
    </row>
    <row r="3" spans="1:9" ht="15" customHeight="1" x14ac:dyDescent="0.25">
      <c r="A3" s="942" t="s">
        <v>698</v>
      </c>
      <c r="B3" s="942"/>
      <c r="C3" s="942"/>
      <c r="D3" s="942"/>
      <c r="E3" s="942"/>
      <c r="F3" s="942"/>
      <c r="G3" s="942"/>
      <c r="H3" s="942"/>
    </row>
    <row r="4" spans="1:9" ht="18" customHeight="1" x14ac:dyDescent="0.25">
      <c r="A4" s="942" t="s">
        <v>699</v>
      </c>
      <c r="B4" s="942"/>
      <c r="C4" s="942"/>
      <c r="D4" s="942"/>
      <c r="E4" s="942"/>
      <c r="F4" s="942"/>
      <c r="G4" s="942"/>
      <c r="H4" s="942"/>
    </row>
    <row r="5" spans="1:9" ht="15.75" customHeight="1" x14ac:dyDescent="0.25">
      <c r="A5" s="942" t="s">
        <v>700</v>
      </c>
      <c r="B5" s="942"/>
      <c r="C5" s="942"/>
      <c r="D5" s="942"/>
      <c r="E5" s="942"/>
      <c r="F5" s="942"/>
      <c r="G5" s="942"/>
      <c r="H5" s="942"/>
    </row>
    <row r="6" spans="1:9" ht="18" customHeight="1" x14ac:dyDescent="0.25">
      <c r="A6" s="681"/>
      <c r="B6" s="681"/>
      <c r="C6" s="681"/>
      <c r="D6" s="681"/>
      <c r="E6" s="681"/>
      <c r="F6" s="681"/>
    </row>
    <row r="7" spans="1:9" x14ac:dyDescent="0.25">
      <c r="A7" s="160" t="s">
        <v>701</v>
      </c>
      <c r="I7" s="160" t="s">
        <v>15</v>
      </c>
    </row>
    <row r="8" spans="1:9" ht="37.5" customHeight="1" x14ac:dyDescent="0.25">
      <c r="A8" s="943" t="s">
        <v>1</v>
      </c>
      <c r="B8" s="943" t="s">
        <v>582</v>
      </c>
      <c r="C8" s="943" t="s">
        <v>581</v>
      </c>
      <c r="D8" s="943" t="s">
        <v>580</v>
      </c>
      <c r="E8" s="943" t="s">
        <v>579</v>
      </c>
      <c r="F8" s="940" t="s">
        <v>702</v>
      </c>
      <c r="G8" s="916" t="s">
        <v>710</v>
      </c>
      <c r="H8" s="916"/>
      <c r="I8" s="916"/>
    </row>
    <row r="9" spans="1:9" ht="135.75" customHeight="1" x14ac:dyDescent="0.25">
      <c r="A9" s="944"/>
      <c r="B9" s="944"/>
      <c r="C9" s="944"/>
      <c r="D9" s="944"/>
      <c r="E9" s="944"/>
      <c r="F9" s="941"/>
      <c r="G9" s="682" t="s">
        <v>180</v>
      </c>
      <c r="H9" s="682" t="s">
        <v>204</v>
      </c>
      <c r="I9" s="682" t="s">
        <v>333</v>
      </c>
    </row>
    <row r="10" spans="1:9" ht="18" customHeight="1" x14ac:dyDescent="0.25">
      <c r="A10" s="669">
        <v>1</v>
      </c>
      <c r="B10" s="669">
        <v>2</v>
      </c>
      <c r="C10" s="669">
        <v>3</v>
      </c>
      <c r="D10" s="669">
        <v>4</v>
      </c>
      <c r="E10" s="669">
        <v>5</v>
      </c>
      <c r="F10" s="683">
        <v>6</v>
      </c>
      <c r="G10" s="683">
        <v>9</v>
      </c>
      <c r="H10" s="669">
        <v>10</v>
      </c>
      <c r="I10" s="669">
        <v>11</v>
      </c>
    </row>
    <row r="11" spans="1:9" ht="15" customHeight="1" x14ac:dyDescent="0.25">
      <c r="A11" s="684" t="s">
        <v>6</v>
      </c>
      <c r="B11" s="684">
        <v>17</v>
      </c>
      <c r="C11" s="685">
        <v>46.4</v>
      </c>
      <c r="D11" s="684">
        <v>788.8</v>
      </c>
      <c r="E11" s="686">
        <v>110</v>
      </c>
      <c r="F11" s="687">
        <v>12</v>
      </c>
      <c r="G11" s="688">
        <v>1041.2</v>
      </c>
      <c r="H11" s="688">
        <v>1041.2</v>
      </c>
      <c r="I11" s="688">
        <v>1041.2</v>
      </c>
    </row>
    <row r="12" spans="1:9" x14ac:dyDescent="0.25">
      <c r="A12" s="684" t="s">
        <v>703</v>
      </c>
      <c r="B12" s="684">
        <v>52</v>
      </c>
      <c r="C12" s="685">
        <v>51.1</v>
      </c>
      <c r="D12" s="684">
        <v>2657.2000000000003</v>
      </c>
      <c r="E12" s="686">
        <v>100.06</v>
      </c>
      <c r="F12" s="687">
        <v>12</v>
      </c>
      <c r="G12" s="688">
        <v>3190.5</v>
      </c>
      <c r="H12" s="688">
        <v>3190.5</v>
      </c>
      <c r="I12" s="688">
        <v>3190.5</v>
      </c>
    </row>
    <row r="13" spans="1:9" x14ac:dyDescent="0.25">
      <c r="A13" s="684" t="s">
        <v>704</v>
      </c>
      <c r="B13" s="684">
        <v>22</v>
      </c>
      <c r="C13" s="685">
        <v>52.8</v>
      </c>
      <c r="D13" s="684">
        <v>1161.5999999999999</v>
      </c>
      <c r="E13" s="686">
        <v>120.07</v>
      </c>
      <c r="F13" s="687">
        <v>12</v>
      </c>
      <c r="G13" s="688">
        <v>1673.7</v>
      </c>
      <c r="H13" s="688">
        <v>1673.7</v>
      </c>
      <c r="I13" s="688">
        <v>1673.7</v>
      </c>
    </row>
    <row r="14" spans="1:9" x14ac:dyDescent="0.25">
      <c r="A14" s="684" t="s">
        <v>705</v>
      </c>
      <c r="B14" s="684">
        <v>19</v>
      </c>
      <c r="C14" s="685">
        <v>43.2</v>
      </c>
      <c r="D14" s="684">
        <v>820.80000000000007</v>
      </c>
      <c r="E14" s="686">
        <v>72.510000000000005</v>
      </c>
      <c r="F14" s="687">
        <v>12</v>
      </c>
      <c r="G14" s="688">
        <v>714.2</v>
      </c>
      <c r="H14" s="688">
        <v>714.2</v>
      </c>
      <c r="I14" s="688">
        <v>714.2</v>
      </c>
    </row>
    <row r="15" spans="1:9" x14ac:dyDescent="0.25">
      <c r="A15" s="684" t="s">
        <v>683</v>
      </c>
      <c r="B15" s="684">
        <v>13</v>
      </c>
      <c r="C15" s="684">
        <v>41.1</v>
      </c>
      <c r="D15" s="684">
        <v>534.30000000000007</v>
      </c>
      <c r="E15" s="684">
        <v>145.30000000000001</v>
      </c>
      <c r="F15" s="687">
        <v>12</v>
      </c>
      <c r="G15" s="688">
        <v>931.6</v>
      </c>
      <c r="H15" s="688">
        <v>931.6</v>
      </c>
      <c r="I15" s="688">
        <v>931.6</v>
      </c>
    </row>
    <row r="16" spans="1:9" x14ac:dyDescent="0.25">
      <c r="A16" s="684" t="s">
        <v>706</v>
      </c>
      <c r="B16" s="684">
        <v>13</v>
      </c>
      <c r="C16" s="685">
        <v>48.6</v>
      </c>
      <c r="D16" s="684">
        <v>631.80000000000007</v>
      </c>
      <c r="E16" s="686">
        <v>145.30000000000001</v>
      </c>
      <c r="F16" s="687">
        <v>12</v>
      </c>
      <c r="G16" s="688">
        <v>1101.5999999999999</v>
      </c>
      <c r="H16" s="688">
        <v>1101.5999999999999</v>
      </c>
      <c r="I16" s="688">
        <v>1101.5999999999999</v>
      </c>
    </row>
    <row r="17" spans="1:9" x14ac:dyDescent="0.25">
      <c r="A17" s="684" t="s">
        <v>707</v>
      </c>
      <c r="B17" s="684">
        <v>21</v>
      </c>
      <c r="C17" s="685">
        <v>39.799999999999997</v>
      </c>
      <c r="D17" s="684">
        <v>835.8</v>
      </c>
      <c r="E17" s="686">
        <v>72.510000000000005</v>
      </c>
      <c r="F17" s="687">
        <v>12</v>
      </c>
      <c r="G17" s="688">
        <v>727.2</v>
      </c>
      <c r="H17" s="688">
        <v>727.2</v>
      </c>
      <c r="I17" s="688">
        <v>727.2</v>
      </c>
    </row>
    <row r="18" spans="1:9" x14ac:dyDescent="0.25">
      <c r="A18" s="684" t="s">
        <v>708</v>
      </c>
      <c r="B18" s="684">
        <v>30</v>
      </c>
      <c r="C18" s="685">
        <v>51.1</v>
      </c>
      <c r="D18" s="684">
        <v>1533</v>
      </c>
      <c r="E18" s="686">
        <v>111.75</v>
      </c>
      <c r="F18" s="687">
        <v>12</v>
      </c>
      <c r="G18" s="688">
        <v>2055.8000000000002</v>
      </c>
      <c r="H18" s="688">
        <v>2055.8000000000002</v>
      </c>
      <c r="I18" s="688">
        <v>2055.8000000000002</v>
      </c>
    </row>
    <row r="19" spans="1:9" x14ac:dyDescent="0.25">
      <c r="A19" s="684" t="s">
        <v>709</v>
      </c>
      <c r="B19" s="684">
        <v>30</v>
      </c>
      <c r="C19" s="685">
        <v>45</v>
      </c>
      <c r="D19" s="684">
        <v>1350</v>
      </c>
      <c r="E19" s="686">
        <v>98.3</v>
      </c>
      <c r="F19" s="687">
        <v>12</v>
      </c>
      <c r="G19" s="688">
        <v>1592.5</v>
      </c>
      <c r="H19" s="688">
        <v>1592.5</v>
      </c>
      <c r="I19" s="688">
        <v>1592.5</v>
      </c>
    </row>
    <row r="20" spans="1:9" s="692" customFormat="1" ht="14.25" x14ac:dyDescent="0.2">
      <c r="A20" s="689"/>
      <c r="B20" s="690">
        <v>217</v>
      </c>
      <c r="C20" s="690"/>
      <c r="D20" s="690"/>
      <c r="E20" s="690"/>
      <c r="F20" s="690"/>
      <c r="G20" s="691">
        <f t="shared" ref="G20:I20" si="0">SUM(G11:G19)</f>
        <v>13028.3</v>
      </c>
      <c r="H20" s="691">
        <f t="shared" si="0"/>
        <v>13028.3</v>
      </c>
      <c r="I20" s="691">
        <f t="shared" si="0"/>
        <v>13028.3</v>
      </c>
    </row>
    <row r="21" spans="1:9" x14ac:dyDescent="0.25">
      <c r="C21" s="693"/>
    </row>
    <row r="22" spans="1:9" x14ac:dyDescent="0.25">
      <c r="D22" s="693"/>
    </row>
  </sheetData>
  <mergeCells count="12">
    <mergeCell ref="F8:F9"/>
    <mergeCell ref="A1:H1"/>
    <mergeCell ref="A8:A9"/>
    <mergeCell ref="B8:B9"/>
    <mergeCell ref="C8:C9"/>
    <mergeCell ref="D8:D9"/>
    <mergeCell ref="E8:E9"/>
    <mergeCell ref="G8:I8"/>
    <mergeCell ref="A2:H2"/>
    <mergeCell ref="A3:H3"/>
    <mergeCell ref="A4:H4"/>
    <mergeCell ref="A5:H5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4"/>
  <sheetViews>
    <sheetView tabSelected="1" workbookViewId="0">
      <selection activeCell="J13" sqref="J13"/>
    </sheetView>
  </sheetViews>
  <sheetFormatPr defaultRowHeight="12.75" x14ac:dyDescent="0.2"/>
  <cols>
    <col min="1" max="1" width="44" customWidth="1"/>
    <col min="2" max="2" width="15.42578125" hidden="1" customWidth="1"/>
    <col min="3" max="3" width="15" customWidth="1"/>
    <col min="4" max="4" width="13.7109375" customWidth="1"/>
    <col min="5" max="5" width="13.42578125" customWidth="1"/>
    <col min="6" max="6" width="13" customWidth="1"/>
    <col min="7" max="7" width="11.140625" customWidth="1"/>
    <col min="8" max="8" width="9.85546875" customWidth="1"/>
  </cols>
  <sheetData>
    <row r="1" spans="1:7" ht="59.25" customHeight="1" x14ac:dyDescent="0.25">
      <c r="A1" s="946" t="s">
        <v>688</v>
      </c>
      <c r="B1" s="946"/>
      <c r="C1" s="946"/>
      <c r="D1" s="946"/>
      <c r="E1" s="946"/>
      <c r="F1" s="946"/>
      <c r="G1" s="670"/>
    </row>
    <row r="2" spans="1:7" ht="23.25" customHeight="1" x14ac:dyDescent="0.25">
      <c r="A2" s="557"/>
      <c r="B2" s="557"/>
      <c r="C2" s="556"/>
      <c r="F2" s="555" t="s">
        <v>588</v>
      </c>
    </row>
    <row r="3" spans="1:7" ht="45" x14ac:dyDescent="0.2">
      <c r="A3" s="671" t="s">
        <v>587</v>
      </c>
      <c r="B3" s="554" t="s">
        <v>689</v>
      </c>
      <c r="C3" s="554" t="s">
        <v>586</v>
      </c>
      <c r="D3" s="553" t="s">
        <v>585</v>
      </c>
      <c r="E3" s="553" t="s">
        <v>584</v>
      </c>
      <c r="F3" s="553" t="s">
        <v>583</v>
      </c>
    </row>
    <row r="4" spans="1:7" ht="15" x14ac:dyDescent="0.25">
      <c r="A4" s="671"/>
      <c r="B4" s="671"/>
      <c r="C4" s="550"/>
      <c r="D4" s="672">
        <f>764-D5</f>
        <v>0</v>
      </c>
      <c r="E4" s="672">
        <f t="shared" ref="E4:F4" si="0">764-E5</f>
        <v>0</v>
      </c>
      <c r="F4" s="672">
        <f t="shared" si="0"/>
        <v>0</v>
      </c>
    </row>
    <row r="5" spans="1:7" ht="15.75" x14ac:dyDescent="0.25">
      <c r="A5" s="673" t="s">
        <v>8</v>
      </c>
      <c r="B5" s="674">
        <f>SUM(B7:B16)</f>
        <v>45</v>
      </c>
      <c r="C5" s="674">
        <f>SUM(C7:C16)</f>
        <v>46250</v>
      </c>
      <c r="D5" s="674">
        <f>SUM(D7:D16)</f>
        <v>764</v>
      </c>
      <c r="E5" s="674">
        <f>SUM(E7:E16)</f>
        <v>764</v>
      </c>
      <c r="F5" s="674">
        <f>SUM(F7:F16)</f>
        <v>764</v>
      </c>
    </row>
    <row r="6" spans="1:7" ht="15.75" x14ac:dyDescent="0.25">
      <c r="A6" s="673" t="s">
        <v>566</v>
      </c>
      <c r="B6" s="674"/>
      <c r="C6" s="674"/>
      <c r="D6" s="674"/>
      <c r="E6" s="674"/>
      <c r="F6" s="674"/>
    </row>
    <row r="7" spans="1:7" ht="15" x14ac:dyDescent="0.25">
      <c r="A7" s="551" t="s">
        <v>3</v>
      </c>
      <c r="B7" s="550">
        <v>9</v>
      </c>
      <c r="C7" s="550">
        <v>20013</v>
      </c>
      <c r="D7" s="550">
        <v>330.6</v>
      </c>
      <c r="E7" s="550">
        <v>330.6</v>
      </c>
      <c r="F7" s="550">
        <v>330.6</v>
      </c>
    </row>
    <row r="8" spans="1:7" ht="15" x14ac:dyDescent="0.25">
      <c r="A8" s="551" t="s">
        <v>58</v>
      </c>
      <c r="B8" s="550">
        <v>10</v>
      </c>
      <c r="C8" s="550">
        <v>6442</v>
      </c>
      <c r="D8" s="550">
        <v>106.4</v>
      </c>
      <c r="E8" s="550">
        <v>106.4</v>
      </c>
      <c r="F8" s="550">
        <v>106.4</v>
      </c>
    </row>
    <row r="9" spans="1:7" ht="15" x14ac:dyDescent="0.25">
      <c r="A9" s="551" t="s">
        <v>63</v>
      </c>
      <c r="B9" s="550">
        <v>3</v>
      </c>
      <c r="C9" s="550">
        <v>4564</v>
      </c>
      <c r="D9" s="550">
        <v>75.400000000000006</v>
      </c>
      <c r="E9" s="550">
        <v>75.400000000000006</v>
      </c>
      <c r="F9" s="550">
        <v>75.400000000000006</v>
      </c>
    </row>
    <row r="10" spans="1:7" ht="15" x14ac:dyDescent="0.25">
      <c r="A10" s="551" t="s">
        <v>64</v>
      </c>
      <c r="B10" s="550">
        <v>4</v>
      </c>
      <c r="C10" s="550">
        <v>2829</v>
      </c>
      <c r="D10" s="550">
        <v>46.7</v>
      </c>
      <c r="E10" s="550">
        <v>46.7</v>
      </c>
      <c r="F10" s="550">
        <v>46.7</v>
      </c>
    </row>
    <row r="11" spans="1:7" ht="15" x14ac:dyDescent="0.25">
      <c r="A11" s="552" t="s">
        <v>62</v>
      </c>
      <c r="B11" s="550">
        <v>4</v>
      </c>
      <c r="C11" s="550">
        <v>2108</v>
      </c>
      <c r="D11" s="550">
        <v>34.799999999999997</v>
      </c>
      <c r="E11" s="550">
        <v>34.799999999999997</v>
      </c>
      <c r="F11" s="550">
        <v>34.799999999999997</v>
      </c>
    </row>
    <row r="12" spans="1:7" ht="15" x14ac:dyDescent="0.25">
      <c r="A12" s="551" t="s">
        <v>61</v>
      </c>
      <c r="B12" s="550">
        <v>3</v>
      </c>
      <c r="C12" s="550">
        <v>2505</v>
      </c>
      <c r="D12" s="550">
        <v>41.4</v>
      </c>
      <c r="E12" s="550">
        <v>41.4</v>
      </c>
      <c r="F12" s="550">
        <v>41.4</v>
      </c>
    </row>
    <row r="13" spans="1:7" ht="15" x14ac:dyDescent="0.25">
      <c r="A13" s="552" t="s">
        <v>55</v>
      </c>
      <c r="B13" s="550">
        <v>3</v>
      </c>
      <c r="C13" s="550">
        <v>4183</v>
      </c>
      <c r="D13" s="550">
        <v>69.099999999999994</v>
      </c>
      <c r="E13" s="550">
        <v>69.099999999999994</v>
      </c>
      <c r="F13" s="550">
        <v>69.099999999999994</v>
      </c>
    </row>
    <row r="14" spans="1:7" ht="15" x14ac:dyDescent="0.25">
      <c r="A14" s="551" t="s">
        <v>57</v>
      </c>
      <c r="B14" s="550">
        <v>3</v>
      </c>
      <c r="C14" s="550">
        <v>1914</v>
      </c>
      <c r="D14" s="550">
        <v>31.6</v>
      </c>
      <c r="E14" s="550">
        <v>31.6</v>
      </c>
      <c r="F14" s="550">
        <v>31.6</v>
      </c>
    </row>
    <row r="15" spans="1:7" ht="15" x14ac:dyDescent="0.25">
      <c r="A15" s="551" t="s">
        <v>60</v>
      </c>
      <c r="B15" s="550">
        <v>6</v>
      </c>
      <c r="C15" s="550">
        <v>1692</v>
      </c>
      <c r="D15" s="550">
        <v>28</v>
      </c>
      <c r="E15" s="550">
        <v>28</v>
      </c>
      <c r="F15" s="550">
        <v>28</v>
      </c>
    </row>
    <row r="18" spans="1:6" ht="15" x14ac:dyDescent="0.2">
      <c r="A18" s="947" t="s">
        <v>690</v>
      </c>
      <c r="B18" s="947"/>
      <c r="C18" s="947"/>
      <c r="D18" s="947"/>
      <c r="E18" s="947"/>
      <c r="F18" s="947"/>
    </row>
    <row r="19" spans="1:6" ht="41.25" customHeight="1" x14ac:dyDescent="0.2">
      <c r="A19" s="675"/>
      <c r="B19" s="676"/>
      <c r="C19" s="677" t="s">
        <v>691</v>
      </c>
      <c r="D19" s="948"/>
      <c r="E19" s="948"/>
      <c r="F19" s="948"/>
    </row>
    <row r="20" spans="1:6" ht="15" x14ac:dyDescent="0.25">
      <c r="A20" s="678" t="s">
        <v>692</v>
      </c>
      <c r="B20" s="678"/>
      <c r="C20" s="311"/>
      <c r="D20" s="311"/>
      <c r="E20" s="679"/>
      <c r="F20" s="680"/>
    </row>
    <row r="21" spans="1:6" ht="15" x14ac:dyDescent="0.2">
      <c r="A21" s="945" t="s">
        <v>693</v>
      </c>
      <c r="B21" s="945"/>
      <c r="C21" s="945"/>
      <c r="D21" s="945"/>
      <c r="E21" s="945"/>
      <c r="F21" s="945"/>
    </row>
    <row r="22" spans="1:6" ht="30" customHeight="1" x14ac:dyDescent="0.2">
      <c r="A22" s="945" t="s">
        <v>694</v>
      </c>
      <c r="B22" s="945"/>
      <c r="C22" s="945"/>
      <c r="D22" s="945"/>
      <c r="E22" s="945"/>
      <c r="F22" s="945"/>
    </row>
    <row r="23" spans="1:6" ht="37.5" customHeight="1" x14ac:dyDescent="0.2">
      <c r="A23" s="945" t="s">
        <v>695</v>
      </c>
      <c r="B23" s="945"/>
      <c r="C23" s="945"/>
      <c r="D23" s="945"/>
      <c r="E23" s="945"/>
      <c r="F23" s="945"/>
    </row>
    <row r="24" spans="1:6" ht="33" customHeight="1" x14ac:dyDescent="0.2">
      <c r="A24" s="945" t="s">
        <v>696</v>
      </c>
      <c r="B24" s="945"/>
      <c r="C24" s="945"/>
      <c r="D24" s="945"/>
      <c r="E24" s="945"/>
      <c r="F24" s="945"/>
    </row>
  </sheetData>
  <mergeCells count="7">
    <mergeCell ref="A21:F21"/>
    <mergeCell ref="A22:F22"/>
    <mergeCell ref="A23:F23"/>
    <mergeCell ref="A24:F24"/>
    <mergeCell ref="A1:F1"/>
    <mergeCell ref="A18:F18"/>
    <mergeCell ref="D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II44"/>
  <sheetViews>
    <sheetView zoomScale="70" zoomScaleNormal="70" zoomScaleSheetLayoutView="71" workbookViewId="0">
      <selection activeCell="E22" sqref="E22"/>
    </sheetView>
  </sheetViews>
  <sheetFormatPr defaultColWidth="18.28515625" defaultRowHeight="12.75" x14ac:dyDescent="0.2"/>
  <cols>
    <col min="1" max="1" width="39.7109375" style="8" customWidth="1"/>
    <col min="2" max="2" width="24.28515625" style="8" customWidth="1"/>
    <col min="3" max="3" width="21.5703125" style="8" customWidth="1"/>
    <col min="4" max="4" width="21.28515625" style="8" customWidth="1"/>
    <col min="5" max="5" width="20.28515625" style="8" customWidth="1"/>
    <col min="6" max="6" width="12.7109375" style="8" customWidth="1"/>
    <col min="7" max="7" width="14.7109375" style="8" hidden="1" customWidth="1"/>
    <col min="8" max="8" width="16.28515625" style="8" hidden="1" customWidth="1"/>
    <col min="9" max="9" width="15.140625" style="8" bestFit="1" customWidth="1"/>
    <col min="10" max="10" width="17.5703125" style="8" hidden="1" customWidth="1"/>
    <col min="11" max="11" width="15.7109375" style="8" hidden="1" customWidth="1"/>
    <col min="12" max="12" width="14.7109375" style="8" hidden="1" customWidth="1"/>
    <col min="13" max="13" width="14.85546875" style="8" bestFit="1" customWidth="1"/>
    <col min="14" max="14" width="13.85546875" style="8" customWidth="1"/>
    <col min="15" max="16" width="14.7109375" style="8" bestFit="1" customWidth="1"/>
    <col min="17" max="17" width="14.85546875" style="8" bestFit="1" customWidth="1"/>
    <col min="18" max="18" width="15.5703125" style="8" bestFit="1" customWidth="1"/>
    <col min="19" max="19" width="18.5703125" style="8" hidden="1" customWidth="1"/>
    <col min="20" max="20" width="31" style="8" hidden="1" customWidth="1"/>
    <col min="21" max="21" width="18.28515625" style="8"/>
    <col min="22" max="23" width="0" style="8" hidden="1" customWidth="1"/>
    <col min="24" max="16384" width="18.28515625" style="8"/>
  </cols>
  <sheetData>
    <row r="1" spans="1:243" ht="19.5" customHeight="1" x14ac:dyDescent="0.3">
      <c r="A1" s="751" t="s">
        <v>49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</row>
    <row r="2" spans="1:243" ht="75" customHeight="1" x14ac:dyDescent="0.3">
      <c r="A2" s="751" t="s">
        <v>326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</row>
    <row r="3" spans="1:243" ht="9" customHeight="1" x14ac:dyDescent="0.2"/>
    <row r="4" spans="1:243" ht="32.25" hidden="1" customHeight="1" x14ac:dyDescent="0.3">
      <c r="A4" s="754" t="s">
        <v>244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275"/>
      <c r="T4" s="275"/>
    </row>
    <row r="5" spans="1:243" ht="44.2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4" t="s">
        <v>15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s="15" customFormat="1" ht="22.5" customHeight="1" x14ac:dyDescent="0.2">
      <c r="A6" s="752" t="s">
        <v>24</v>
      </c>
      <c r="B6" s="752" t="s">
        <v>25</v>
      </c>
      <c r="C6" s="323" t="s">
        <v>26</v>
      </c>
      <c r="D6" s="323" t="s">
        <v>27</v>
      </c>
      <c r="E6" s="323" t="s">
        <v>28</v>
      </c>
      <c r="F6" s="323" t="s">
        <v>18</v>
      </c>
      <c r="G6" s="323" t="s">
        <v>29</v>
      </c>
      <c r="H6" s="323" t="s">
        <v>29</v>
      </c>
      <c r="I6" s="323" t="s">
        <v>30</v>
      </c>
      <c r="J6" s="323" t="s">
        <v>29</v>
      </c>
      <c r="K6" s="323" t="s">
        <v>19</v>
      </c>
      <c r="L6" s="323" t="s">
        <v>20</v>
      </c>
      <c r="M6" s="759" t="s">
        <v>21</v>
      </c>
      <c r="N6" s="760"/>
      <c r="O6" s="323" t="s">
        <v>22</v>
      </c>
      <c r="P6" s="323" t="s">
        <v>23</v>
      </c>
      <c r="Q6" s="323" t="s">
        <v>31</v>
      </c>
      <c r="R6" s="755" t="s">
        <v>267</v>
      </c>
      <c r="S6" s="755">
        <v>5201</v>
      </c>
      <c r="T6" s="755">
        <v>5204</v>
      </c>
      <c r="U6" s="755" t="s">
        <v>275</v>
      </c>
      <c r="V6" s="755">
        <v>5201</v>
      </c>
      <c r="W6" s="755">
        <v>5204</v>
      </c>
      <c r="X6" s="755" t="s">
        <v>276</v>
      </c>
      <c r="Y6" s="324"/>
      <c r="Z6" s="324"/>
      <c r="AA6" s="75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s="15" customFormat="1" ht="32.25" customHeight="1" x14ac:dyDescent="0.2">
      <c r="A7" s="752"/>
      <c r="B7" s="752"/>
      <c r="C7" s="752" t="s">
        <v>32</v>
      </c>
      <c r="D7" s="752" t="s">
        <v>33</v>
      </c>
      <c r="E7" s="752" t="s">
        <v>34</v>
      </c>
      <c r="F7" s="752" t="s">
        <v>35</v>
      </c>
      <c r="G7" s="752" t="s">
        <v>36</v>
      </c>
      <c r="H7" s="752" t="s">
        <v>37</v>
      </c>
      <c r="I7" s="752" t="s">
        <v>38</v>
      </c>
      <c r="J7" s="752" t="s">
        <v>269</v>
      </c>
      <c r="K7" s="321"/>
      <c r="L7" s="322"/>
      <c r="M7" s="761" t="s">
        <v>258</v>
      </c>
      <c r="N7" s="761" t="s">
        <v>39</v>
      </c>
      <c r="O7" s="761" t="s">
        <v>40</v>
      </c>
      <c r="P7" s="761" t="s">
        <v>41</v>
      </c>
      <c r="Q7" s="761" t="s">
        <v>369</v>
      </c>
      <c r="R7" s="756"/>
      <c r="S7" s="756"/>
      <c r="T7" s="756"/>
      <c r="U7" s="756"/>
      <c r="V7" s="756"/>
      <c r="W7" s="756"/>
      <c r="X7" s="756"/>
      <c r="Y7" s="758"/>
      <c r="Z7" s="758"/>
      <c r="AA7" s="75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s="15" customFormat="1" ht="61.5" customHeight="1" x14ac:dyDescent="0.2">
      <c r="A8" s="752"/>
      <c r="B8" s="752"/>
      <c r="C8" s="752"/>
      <c r="D8" s="752"/>
      <c r="E8" s="752"/>
      <c r="F8" s="752"/>
      <c r="G8" s="752"/>
      <c r="H8" s="752"/>
      <c r="I8" s="752"/>
      <c r="J8" s="752"/>
      <c r="K8" s="298" t="s">
        <v>257</v>
      </c>
      <c r="L8" s="298" t="s">
        <v>259</v>
      </c>
      <c r="M8" s="762"/>
      <c r="N8" s="762"/>
      <c r="O8" s="762"/>
      <c r="P8" s="762"/>
      <c r="Q8" s="762"/>
      <c r="R8" s="756"/>
      <c r="S8" s="756"/>
      <c r="T8" s="756"/>
      <c r="U8" s="756"/>
      <c r="V8" s="756"/>
      <c r="W8" s="756"/>
      <c r="X8" s="756"/>
      <c r="Y8" s="758"/>
      <c r="Z8" s="758"/>
      <c r="AA8" s="75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6.5" x14ac:dyDescent="0.25">
      <c r="A9" s="753" t="s">
        <v>16</v>
      </c>
      <c r="B9" s="115" t="s">
        <v>42</v>
      </c>
      <c r="C9" s="176">
        <v>7616</v>
      </c>
      <c r="D9" s="10">
        <f>C9*4.167</f>
        <v>31735.871999999999</v>
      </c>
      <c r="E9" s="10">
        <f t="shared" ref="E9:E14" si="0">(C9+D9)*1.5</f>
        <v>59027.808000000005</v>
      </c>
      <c r="F9" s="177">
        <v>1</v>
      </c>
      <c r="G9" s="10">
        <f t="shared" ref="G9:G14" si="1">(C9+D9+E9)*F9</f>
        <v>98379.680000000008</v>
      </c>
      <c r="H9" s="10">
        <f t="shared" ref="H9:H14" si="2">G9*12</f>
        <v>1180556.1600000001</v>
      </c>
      <c r="I9" s="10">
        <f>H9*0.28</f>
        <v>330555.72480000008</v>
      </c>
      <c r="J9" s="10">
        <f>H9+I9</f>
        <v>1511111.8848000001</v>
      </c>
      <c r="K9" s="176"/>
      <c r="L9" s="10">
        <f t="shared" ref="L9:L37" si="3">SUM(M9:Q9)</f>
        <v>0</v>
      </c>
      <c r="M9" s="176"/>
      <c r="N9" s="176"/>
      <c r="O9" s="176"/>
      <c r="P9" s="176"/>
      <c r="Q9" s="176"/>
      <c r="R9" s="319">
        <v>1511.1118848000001</v>
      </c>
      <c r="S9" s="10">
        <f t="shared" ref="S9:S14" si="4">R9-T9</f>
        <v>1160.6118848000001</v>
      </c>
      <c r="T9" s="10">
        <f t="shared" ref="T9:T14" si="5">ROUND(R9*0.302/1.302,1)</f>
        <v>350.5</v>
      </c>
      <c r="U9" s="319">
        <v>1511.1118848000001</v>
      </c>
      <c r="V9" s="10">
        <f t="shared" ref="V9:V14" si="6">U9-W9</f>
        <v>1160.6118848000001</v>
      </c>
      <c r="W9" s="10">
        <f t="shared" ref="W9:W14" si="7">ROUND(U9*0.302/1.302,1)</f>
        <v>350.5</v>
      </c>
      <c r="X9" s="10">
        <f t="shared" ref="X9:X37" si="8">U9</f>
        <v>1511.1118848000001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16.5" x14ac:dyDescent="0.25">
      <c r="A10" s="753"/>
      <c r="B10" s="115" t="s">
        <v>43</v>
      </c>
      <c r="C10" s="176">
        <v>6662</v>
      </c>
      <c r="D10" s="10">
        <f>C10*4.167</f>
        <v>27760.554</v>
      </c>
      <c r="E10" s="10">
        <f t="shared" si="0"/>
        <v>51633.831000000006</v>
      </c>
      <c r="F10" s="177">
        <v>1</v>
      </c>
      <c r="G10" s="10">
        <f t="shared" si="1"/>
        <v>86056.385000000009</v>
      </c>
      <c r="H10" s="10">
        <f>G10*12</f>
        <v>1032676.6200000001</v>
      </c>
      <c r="I10" s="10">
        <f t="shared" ref="I10:I20" si="9">H10*0.28</f>
        <v>289149.45360000007</v>
      </c>
      <c r="J10" s="10">
        <f t="shared" ref="J10:J36" si="10">H10+I10</f>
        <v>1321826.0736000002</v>
      </c>
      <c r="K10" s="176"/>
      <c r="L10" s="10">
        <f t="shared" si="3"/>
        <v>0</v>
      </c>
      <c r="M10" s="176"/>
      <c r="N10" s="176"/>
      <c r="O10" s="176"/>
      <c r="P10" s="176"/>
      <c r="Q10" s="176"/>
      <c r="R10" s="319">
        <v>1321.8260736000002</v>
      </c>
      <c r="S10" s="10">
        <f t="shared" si="4"/>
        <v>1015.2260736000002</v>
      </c>
      <c r="T10" s="10">
        <f t="shared" si="5"/>
        <v>306.60000000000002</v>
      </c>
      <c r="U10" s="319">
        <v>1321.8260736000002</v>
      </c>
      <c r="V10" s="10">
        <f t="shared" si="6"/>
        <v>1015.2260736000002</v>
      </c>
      <c r="W10" s="10">
        <f t="shared" si="7"/>
        <v>306.60000000000002</v>
      </c>
      <c r="X10" s="10">
        <f t="shared" si="8"/>
        <v>1321.8260736000002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ht="16.5" x14ac:dyDescent="0.25">
      <c r="A11" s="753"/>
      <c r="B11" s="115" t="s">
        <v>44</v>
      </c>
      <c r="C11" s="176">
        <v>6100</v>
      </c>
      <c r="D11" s="10">
        <f>C11*4.167</f>
        <v>25418.699999999997</v>
      </c>
      <c r="E11" s="10">
        <f t="shared" si="0"/>
        <v>47278.049999999996</v>
      </c>
      <c r="F11" s="177">
        <v>6</v>
      </c>
      <c r="G11" s="10">
        <f t="shared" si="1"/>
        <v>472780.5</v>
      </c>
      <c r="H11" s="10">
        <f t="shared" si="2"/>
        <v>5673366</v>
      </c>
      <c r="I11" s="10">
        <f t="shared" si="9"/>
        <v>1588542.4800000002</v>
      </c>
      <c r="J11" s="10">
        <f t="shared" si="10"/>
        <v>7261908.4800000004</v>
      </c>
      <c r="K11" s="176"/>
      <c r="L11" s="10">
        <f t="shared" si="3"/>
        <v>0</v>
      </c>
      <c r="M11" s="176"/>
      <c r="N11" s="176"/>
      <c r="O11" s="176"/>
      <c r="P11" s="176"/>
      <c r="Q11" s="176"/>
      <c r="R11" s="319">
        <v>7261.9084800000001</v>
      </c>
      <c r="S11" s="10">
        <f t="shared" si="4"/>
        <v>5577.5084800000004</v>
      </c>
      <c r="T11" s="10">
        <f t="shared" si="5"/>
        <v>1684.4</v>
      </c>
      <c r="U11" s="319">
        <v>7261.9084800000001</v>
      </c>
      <c r="V11" s="10">
        <f t="shared" si="6"/>
        <v>5577.5084800000004</v>
      </c>
      <c r="W11" s="10">
        <f t="shared" si="7"/>
        <v>1684.4</v>
      </c>
      <c r="X11" s="10">
        <f t="shared" si="8"/>
        <v>7261.9084800000001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ht="16.5" x14ac:dyDescent="0.25">
      <c r="A12" s="753"/>
      <c r="B12" s="115" t="s">
        <v>45</v>
      </c>
      <c r="C12" s="176">
        <v>5594</v>
      </c>
      <c r="D12" s="10">
        <f>C12*4.167</f>
        <v>23310.198</v>
      </c>
      <c r="E12" s="10">
        <f t="shared" si="0"/>
        <v>43356.296999999999</v>
      </c>
      <c r="F12" s="177">
        <v>3</v>
      </c>
      <c r="G12" s="10">
        <f t="shared" si="1"/>
        <v>216781.48499999999</v>
      </c>
      <c r="H12" s="10">
        <f t="shared" si="2"/>
        <v>2601377.8199999998</v>
      </c>
      <c r="I12" s="10">
        <f t="shared" si="9"/>
        <v>728385.78960000002</v>
      </c>
      <c r="J12" s="10">
        <f t="shared" si="10"/>
        <v>3329763.6096000001</v>
      </c>
      <c r="K12" s="176"/>
      <c r="L12" s="10">
        <f t="shared" si="3"/>
        <v>0</v>
      </c>
      <c r="M12" s="176"/>
      <c r="N12" s="176"/>
      <c r="O12" s="176"/>
      <c r="P12" s="176"/>
      <c r="Q12" s="176"/>
      <c r="R12" s="319">
        <v>3329.7636096000001</v>
      </c>
      <c r="S12" s="10">
        <f t="shared" si="4"/>
        <v>2557.4636096000004</v>
      </c>
      <c r="T12" s="10">
        <f t="shared" si="5"/>
        <v>772.3</v>
      </c>
      <c r="U12" s="319">
        <v>3329.7636096000001</v>
      </c>
      <c r="V12" s="10">
        <f t="shared" si="6"/>
        <v>2557.4636096000004</v>
      </c>
      <c r="W12" s="10">
        <f t="shared" si="7"/>
        <v>772.3</v>
      </c>
      <c r="X12" s="10">
        <f t="shared" si="8"/>
        <v>3329.7636096000001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243" s="9" customFormat="1" ht="16.5" x14ac:dyDescent="0.25">
      <c r="A13" s="753"/>
      <c r="B13" s="115" t="s">
        <v>46</v>
      </c>
      <c r="C13" s="176">
        <v>4577</v>
      </c>
      <c r="D13" s="10">
        <f>C13*4.167</f>
        <v>19072.359</v>
      </c>
      <c r="E13" s="10">
        <f t="shared" si="0"/>
        <v>35474.038500000002</v>
      </c>
      <c r="F13" s="177">
        <v>1</v>
      </c>
      <c r="G13" s="10">
        <f t="shared" si="1"/>
        <v>59123.397500000006</v>
      </c>
      <c r="H13" s="10">
        <f t="shared" si="2"/>
        <v>709480.77</v>
      </c>
      <c r="I13" s="10">
        <f t="shared" si="9"/>
        <v>198654.61560000002</v>
      </c>
      <c r="J13" s="10">
        <f t="shared" si="10"/>
        <v>908135.38560000004</v>
      </c>
      <c r="K13" s="176"/>
      <c r="L13" s="10">
        <f t="shared" si="3"/>
        <v>0</v>
      </c>
      <c r="M13" s="176"/>
      <c r="N13" s="176"/>
      <c r="O13" s="176"/>
      <c r="P13" s="176"/>
      <c r="Q13" s="176"/>
      <c r="R13" s="319">
        <v>908.13538560000006</v>
      </c>
      <c r="S13" s="10">
        <f t="shared" si="4"/>
        <v>697.53538560000004</v>
      </c>
      <c r="T13" s="10">
        <f t="shared" si="5"/>
        <v>210.6</v>
      </c>
      <c r="U13" s="319">
        <v>908.13538560000006</v>
      </c>
      <c r="V13" s="10">
        <f t="shared" si="6"/>
        <v>697.53538560000004</v>
      </c>
      <c r="W13" s="10">
        <f t="shared" si="7"/>
        <v>210.6</v>
      </c>
      <c r="X13" s="10">
        <f t="shared" si="8"/>
        <v>908.13538560000006</v>
      </c>
    </row>
    <row r="14" spans="1:243" s="9" customFormat="1" ht="16.5" x14ac:dyDescent="0.25">
      <c r="A14" s="753"/>
      <c r="B14" s="115" t="s">
        <v>47</v>
      </c>
      <c r="C14" s="176">
        <v>4693</v>
      </c>
      <c r="D14" s="10">
        <f>C14*2.30797642</f>
        <v>10831.33333906</v>
      </c>
      <c r="E14" s="10">
        <f t="shared" si="0"/>
        <v>23286.500008589999</v>
      </c>
      <c r="F14" s="177">
        <v>1</v>
      </c>
      <c r="G14" s="10">
        <f t="shared" si="1"/>
        <v>38810.833347649997</v>
      </c>
      <c r="H14" s="10">
        <f t="shared" si="2"/>
        <v>465730.00017179997</v>
      </c>
      <c r="I14" s="10">
        <f t="shared" si="9"/>
        <v>130404.400048104</v>
      </c>
      <c r="J14" s="10">
        <f t="shared" si="10"/>
        <v>596134.40021990403</v>
      </c>
      <c r="K14" s="176"/>
      <c r="L14" s="10">
        <f t="shared" si="3"/>
        <v>0</v>
      </c>
      <c r="M14" s="176"/>
      <c r="N14" s="176"/>
      <c r="O14" s="176"/>
      <c r="P14" s="176"/>
      <c r="Q14" s="176"/>
      <c r="R14" s="319">
        <v>596.13440021990402</v>
      </c>
      <c r="S14" s="10">
        <f t="shared" si="4"/>
        <v>457.83440021990401</v>
      </c>
      <c r="T14" s="10">
        <f t="shared" si="5"/>
        <v>138.30000000000001</v>
      </c>
      <c r="U14" s="319">
        <v>596.13440021990402</v>
      </c>
      <c r="V14" s="10">
        <f t="shared" si="6"/>
        <v>457.83440021990401</v>
      </c>
      <c r="W14" s="10">
        <f t="shared" si="7"/>
        <v>138.30000000000001</v>
      </c>
      <c r="X14" s="10">
        <f t="shared" si="8"/>
        <v>596.13440021990402</v>
      </c>
    </row>
    <row r="15" spans="1:243" s="173" customFormat="1" ht="24.75" customHeight="1" x14ac:dyDescent="0.25">
      <c r="A15" s="128" t="s">
        <v>17</v>
      </c>
      <c r="B15" s="128"/>
      <c r="C15" s="130">
        <f t="shared" ref="C15:I15" si="11">SUM(C9:C14)</f>
        <v>35242</v>
      </c>
      <c r="D15" s="130">
        <f t="shared" si="11"/>
        <v>138129.01633905998</v>
      </c>
      <c r="E15" s="130">
        <f t="shared" si="11"/>
        <v>260056.52450859</v>
      </c>
      <c r="F15" s="129">
        <f t="shared" si="11"/>
        <v>13</v>
      </c>
      <c r="G15" s="157">
        <f t="shared" si="11"/>
        <v>971932.2808476499</v>
      </c>
      <c r="H15" s="157">
        <f>SUM(H9:H14)</f>
        <v>11663187.370171798</v>
      </c>
      <c r="I15" s="157">
        <f t="shared" si="11"/>
        <v>3265692.4636481041</v>
      </c>
      <c r="J15" s="130">
        <f>SUM(J9:J14)</f>
        <v>14928879.833819905</v>
      </c>
      <c r="K15" s="130">
        <v>436189</v>
      </c>
      <c r="L15" s="157">
        <f t="shared" si="3"/>
        <v>1469300</v>
      </c>
      <c r="M15" s="130">
        <v>666300</v>
      </c>
      <c r="N15" s="130">
        <v>58200</v>
      </c>
      <c r="O15" s="130">
        <v>40300</v>
      </c>
      <c r="P15" s="130">
        <v>276100</v>
      </c>
      <c r="Q15" s="130">
        <f>418900+9500</f>
        <v>428400</v>
      </c>
      <c r="R15" s="320">
        <v>16834.400000000001</v>
      </c>
      <c r="S15" s="157"/>
      <c r="T15" s="157"/>
      <c r="U15" s="320">
        <v>16834.400000000001</v>
      </c>
      <c r="V15" s="157"/>
      <c r="W15" s="157"/>
      <c r="X15" s="157">
        <f t="shared" si="8"/>
        <v>16834.400000000001</v>
      </c>
      <c r="Y15" s="171"/>
      <c r="Z15" s="171"/>
      <c r="AA15" s="172"/>
    </row>
    <row r="16" spans="1:243" s="9" customFormat="1" ht="16.5" x14ac:dyDescent="0.25">
      <c r="A16" s="753" t="s">
        <v>58</v>
      </c>
      <c r="B16" s="115" t="s">
        <v>44</v>
      </c>
      <c r="C16" s="176">
        <v>6100</v>
      </c>
      <c r="D16" s="10">
        <f>C16*4.167</f>
        <v>25418.699999999997</v>
      </c>
      <c r="E16" s="10">
        <f>(C16+D16)*1.5</f>
        <v>47278.049999999996</v>
      </c>
      <c r="F16" s="177">
        <v>1</v>
      </c>
      <c r="G16" s="10">
        <f>(C16+D16+E16)*F16</f>
        <v>78796.75</v>
      </c>
      <c r="H16" s="10">
        <f>G16*12</f>
        <v>945561</v>
      </c>
      <c r="I16" s="10">
        <f t="shared" si="9"/>
        <v>264757.08</v>
      </c>
      <c r="J16" s="10">
        <f>H16+I16</f>
        <v>1210318.08</v>
      </c>
      <c r="K16" s="176"/>
      <c r="L16" s="10">
        <f t="shared" si="3"/>
        <v>0</v>
      </c>
      <c r="M16" s="176"/>
      <c r="N16" s="176"/>
      <c r="O16" s="176"/>
      <c r="P16" s="176"/>
      <c r="Q16" s="176"/>
      <c r="R16" s="319">
        <v>1210.31808</v>
      </c>
      <c r="S16" s="10">
        <f>R16-T16</f>
        <v>929.61807999999996</v>
      </c>
      <c r="T16" s="10">
        <f>ROUND(R16*0.302/1.302,1)</f>
        <v>280.7</v>
      </c>
      <c r="U16" s="319">
        <v>1210.31808</v>
      </c>
      <c r="V16" s="10">
        <f>U16-W16</f>
        <v>929.61807999999996</v>
      </c>
      <c r="W16" s="10">
        <f>ROUND(U16*0.302/1.302,1)</f>
        <v>280.7</v>
      </c>
      <c r="X16" s="10">
        <f t="shared" si="8"/>
        <v>1210.31808</v>
      </c>
    </row>
    <row r="17" spans="1:243" s="9" customFormat="1" ht="16.5" x14ac:dyDescent="0.25">
      <c r="A17" s="753"/>
      <c r="B17" s="115" t="s">
        <v>45</v>
      </c>
      <c r="C17" s="176">
        <v>5594</v>
      </c>
      <c r="D17" s="10">
        <f>C17*4.167</f>
        <v>23310.198</v>
      </c>
      <c r="E17" s="10">
        <f>(C17+D17)*1.5</f>
        <v>43356.296999999999</v>
      </c>
      <c r="F17" s="177">
        <v>2</v>
      </c>
      <c r="G17" s="10">
        <f>(C17+D17+E17)*F17</f>
        <v>144520.99</v>
      </c>
      <c r="H17" s="10">
        <f>G17*12</f>
        <v>1734251.88</v>
      </c>
      <c r="I17" s="10">
        <f t="shared" si="9"/>
        <v>485590.52640000003</v>
      </c>
      <c r="J17" s="10">
        <f>H17+I17</f>
        <v>2219842.4063999997</v>
      </c>
      <c r="K17" s="176"/>
      <c r="L17" s="10">
        <f t="shared" si="3"/>
        <v>0</v>
      </c>
      <c r="M17" s="176"/>
      <c r="N17" s="176"/>
      <c r="O17" s="176"/>
      <c r="P17" s="176"/>
      <c r="Q17" s="176"/>
      <c r="R17" s="319">
        <v>2219.8424063999996</v>
      </c>
      <c r="S17" s="10"/>
      <c r="T17" s="10"/>
      <c r="U17" s="319">
        <v>2219.8424063999996</v>
      </c>
      <c r="V17" s="10"/>
      <c r="W17" s="10"/>
      <c r="X17" s="10">
        <f t="shared" si="8"/>
        <v>2219.8424063999996</v>
      </c>
    </row>
    <row r="18" spans="1:243" s="173" customFormat="1" ht="28.5" customHeight="1" x14ac:dyDescent="0.25">
      <c r="A18" s="174" t="s">
        <v>17</v>
      </c>
      <c r="B18" s="128"/>
      <c r="C18" s="157">
        <f>SUM(C16:C17)</f>
        <v>11694</v>
      </c>
      <c r="D18" s="157">
        <f t="shared" ref="D18:K18" si="12">SUM(D16:D17)</f>
        <v>48728.898000000001</v>
      </c>
      <c r="E18" s="157">
        <f t="shared" si="12"/>
        <v>90634.346999999994</v>
      </c>
      <c r="F18" s="129">
        <f t="shared" si="12"/>
        <v>3</v>
      </c>
      <c r="G18" s="157">
        <f t="shared" si="12"/>
        <v>223317.74</v>
      </c>
      <c r="H18" s="157">
        <f>SUM(H16:H17)</f>
        <v>2679812.88</v>
      </c>
      <c r="I18" s="157">
        <f t="shared" si="12"/>
        <v>750347.60640000005</v>
      </c>
      <c r="J18" s="157">
        <f>SUM(J16:J17)</f>
        <v>3430160.4863999998</v>
      </c>
      <c r="K18" s="157">
        <f t="shared" si="12"/>
        <v>0</v>
      </c>
      <c r="L18" s="157">
        <f t="shared" si="3"/>
        <v>255900</v>
      </c>
      <c r="M18" s="178">
        <v>150000</v>
      </c>
      <c r="N18" s="178">
        <v>18900</v>
      </c>
      <c r="O18" s="178">
        <v>10600</v>
      </c>
      <c r="P18" s="178">
        <v>36400</v>
      </c>
      <c r="Q18" s="178">
        <v>40000</v>
      </c>
      <c r="R18" s="320">
        <v>3686.1</v>
      </c>
      <c r="S18" s="157"/>
      <c r="T18" s="157"/>
      <c r="U18" s="320">
        <v>3686.1</v>
      </c>
      <c r="V18" s="157"/>
      <c r="W18" s="157"/>
      <c r="X18" s="157">
        <f t="shared" si="8"/>
        <v>3686.1</v>
      </c>
      <c r="Y18" s="172"/>
      <c r="Z18" s="172"/>
      <c r="AA18" s="172"/>
    </row>
    <row r="19" spans="1:243" s="9" customFormat="1" ht="16.5" x14ac:dyDescent="0.25">
      <c r="A19" s="753" t="s">
        <v>56</v>
      </c>
      <c r="B19" s="115" t="s">
        <v>44</v>
      </c>
      <c r="C19" s="176">
        <v>6100</v>
      </c>
      <c r="D19" s="10">
        <f>C19*4.167</f>
        <v>25418.699999999997</v>
      </c>
      <c r="E19" s="10">
        <f>(C19+D19)*1.5</f>
        <v>47278.049999999996</v>
      </c>
      <c r="F19" s="177">
        <v>1</v>
      </c>
      <c r="G19" s="10">
        <f>(C19+D19+E19)*F19</f>
        <v>78796.75</v>
      </c>
      <c r="H19" s="10">
        <f>G19*12</f>
        <v>945561</v>
      </c>
      <c r="I19" s="10">
        <f t="shared" si="9"/>
        <v>264757.08</v>
      </c>
      <c r="J19" s="10">
        <f t="shared" si="10"/>
        <v>1210318.08</v>
      </c>
      <c r="K19" s="176"/>
      <c r="L19" s="10">
        <f t="shared" si="3"/>
        <v>0</v>
      </c>
      <c r="M19" s="176"/>
      <c r="N19" s="176"/>
      <c r="O19" s="176"/>
      <c r="P19" s="176"/>
      <c r="Q19" s="176"/>
      <c r="R19" s="319">
        <v>1210.31808</v>
      </c>
      <c r="S19" s="10">
        <f>R19-T19</f>
        <v>929.61807999999996</v>
      </c>
      <c r="T19" s="10">
        <f>ROUND(R19*0.302/1.302,1)</f>
        <v>280.7</v>
      </c>
      <c r="U19" s="319">
        <v>1210.31808</v>
      </c>
      <c r="V19" s="10">
        <f>U19-W19</f>
        <v>929.61807999999996</v>
      </c>
      <c r="W19" s="10">
        <f>ROUND(U19*0.302/1.302,1)</f>
        <v>280.7</v>
      </c>
      <c r="X19" s="10">
        <f t="shared" si="8"/>
        <v>1210.31808</v>
      </c>
    </row>
    <row r="20" spans="1:243" s="9" customFormat="1" ht="16.5" x14ac:dyDescent="0.25">
      <c r="A20" s="753"/>
      <c r="B20" s="115" t="s">
        <v>45</v>
      </c>
      <c r="C20" s="176">
        <v>5594</v>
      </c>
      <c r="D20" s="10">
        <f>C20*4.167</f>
        <v>23310.198</v>
      </c>
      <c r="E20" s="10">
        <f>(C20+D20)*1.5</f>
        <v>43356.296999999999</v>
      </c>
      <c r="F20" s="177">
        <v>1</v>
      </c>
      <c r="G20" s="10">
        <f>(C20+D20+E20)*F20</f>
        <v>72260.494999999995</v>
      </c>
      <c r="H20" s="10">
        <f>G20*12</f>
        <v>867125.94</v>
      </c>
      <c r="I20" s="10">
        <f t="shared" si="9"/>
        <v>242795.26320000002</v>
      </c>
      <c r="J20" s="10">
        <f t="shared" si="10"/>
        <v>1109921.2031999999</v>
      </c>
      <c r="K20" s="176"/>
      <c r="L20" s="10">
        <f t="shared" si="3"/>
        <v>0</v>
      </c>
      <c r="M20" s="176"/>
      <c r="N20" s="176"/>
      <c r="O20" s="176"/>
      <c r="P20" s="176"/>
      <c r="Q20" s="176"/>
      <c r="R20" s="319">
        <v>1109.9212031999998</v>
      </c>
      <c r="S20" s="10">
        <f>R20-T20</f>
        <v>852.52120319999983</v>
      </c>
      <c r="T20" s="10">
        <f>ROUND(R20*0.302/1.302,1)</f>
        <v>257.39999999999998</v>
      </c>
      <c r="U20" s="319">
        <v>1109.9212031999998</v>
      </c>
      <c r="V20" s="10">
        <f>U20-W20</f>
        <v>852.52120319999983</v>
      </c>
      <c r="W20" s="10">
        <f>ROUND(U20*0.302/1.302,1)</f>
        <v>257.39999999999998</v>
      </c>
      <c r="X20" s="10">
        <f t="shared" si="8"/>
        <v>1109.9212031999998</v>
      </c>
    </row>
    <row r="21" spans="1:243" s="173" customFormat="1" ht="16.5" x14ac:dyDescent="0.25">
      <c r="A21" s="128" t="s">
        <v>17</v>
      </c>
      <c r="B21" s="128"/>
      <c r="C21" s="157">
        <f t="shared" ref="C21:K21" si="13">SUM(C19:C20)</f>
        <v>11694</v>
      </c>
      <c r="D21" s="157">
        <f t="shared" si="13"/>
        <v>48728.898000000001</v>
      </c>
      <c r="E21" s="157">
        <f t="shared" si="13"/>
        <v>90634.346999999994</v>
      </c>
      <c r="F21" s="129">
        <f t="shared" si="13"/>
        <v>2</v>
      </c>
      <c r="G21" s="157">
        <f t="shared" si="13"/>
        <v>151057.245</v>
      </c>
      <c r="H21" s="157">
        <f>SUM(H19:H20)</f>
        <v>1812686.94</v>
      </c>
      <c r="I21" s="157">
        <f t="shared" si="13"/>
        <v>507552.3432</v>
      </c>
      <c r="J21" s="157">
        <f t="shared" si="13"/>
        <v>2320239.2831999999</v>
      </c>
      <c r="K21" s="157">
        <f t="shared" si="13"/>
        <v>0</v>
      </c>
      <c r="L21" s="157">
        <f t="shared" si="3"/>
        <v>225100</v>
      </c>
      <c r="M21" s="157">
        <v>100000</v>
      </c>
      <c r="N21" s="157">
        <v>43400</v>
      </c>
      <c r="O21" s="157">
        <v>5000</v>
      </c>
      <c r="P21" s="157">
        <v>38700</v>
      </c>
      <c r="Q21" s="157">
        <v>38000</v>
      </c>
      <c r="R21" s="320">
        <v>2545.3000000000002</v>
      </c>
      <c r="S21" s="157"/>
      <c r="T21" s="157"/>
      <c r="U21" s="320">
        <v>2545.3000000000002</v>
      </c>
      <c r="V21" s="157"/>
      <c r="W21" s="157"/>
      <c r="X21" s="157">
        <f t="shared" si="8"/>
        <v>2545.3000000000002</v>
      </c>
      <c r="Y21" s="172"/>
      <c r="Z21" s="172"/>
      <c r="AA21" s="172"/>
    </row>
    <row r="22" spans="1:243" s="9" customFormat="1" ht="24.75" customHeight="1" x14ac:dyDescent="0.25">
      <c r="A22" s="169" t="s">
        <v>60</v>
      </c>
      <c r="B22" s="115" t="s">
        <v>45</v>
      </c>
      <c r="C22" s="176">
        <v>5594</v>
      </c>
      <c r="D22" s="10">
        <f>C22*4.167</f>
        <v>23310.198</v>
      </c>
      <c r="E22" s="10">
        <f>(C22+D22)*1.7</f>
        <v>49137.136599999998</v>
      </c>
      <c r="F22" s="177">
        <v>2</v>
      </c>
      <c r="G22" s="10">
        <f>(C22+D22+E22)*F22</f>
        <v>156082.6692</v>
      </c>
      <c r="H22" s="10">
        <f>G22*12</f>
        <v>1872992.0304</v>
      </c>
      <c r="I22" s="10">
        <f>H22*0.28</f>
        <v>524437.7685120001</v>
      </c>
      <c r="J22" s="10">
        <f>H22+I22</f>
        <v>2397429.7989119999</v>
      </c>
      <c r="K22" s="176"/>
      <c r="L22" s="10">
        <f t="shared" si="3"/>
        <v>0</v>
      </c>
      <c r="M22" s="176"/>
      <c r="N22" s="176"/>
      <c r="O22" s="176"/>
      <c r="P22" s="176"/>
      <c r="Q22" s="176"/>
      <c r="R22" s="319">
        <v>2397.429798912</v>
      </c>
      <c r="S22" s="10">
        <f>R22-T22</f>
        <v>1841.3297989120001</v>
      </c>
      <c r="T22" s="10">
        <f>ROUND(R22*0.302/1.302,1)</f>
        <v>556.1</v>
      </c>
      <c r="U22" s="319">
        <v>2397.429798912</v>
      </c>
      <c r="V22" s="10">
        <f>U22-W22</f>
        <v>1841.3297989120001</v>
      </c>
      <c r="W22" s="10">
        <f>ROUND(U22*0.302/1.302,1)</f>
        <v>556.1</v>
      </c>
      <c r="X22" s="10">
        <f t="shared" si="8"/>
        <v>2397.429798912</v>
      </c>
    </row>
    <row r="23" spans="1:243" s="173" customFormat="1" ht="16.5" x14ac:dyDescent="0.25">
      <c r="A23" s="128" t="s">
        <v>17</v>
      </c>
      <c r="B23" s="128"/>
      <c r="C23" s="157">
        <f>C22</f>
        <v>5594</v>
      </c>
      <c r="D23" s="157">
        <f t="shared" ref="D23:I23" si="14">SUM(D22:D22)</f>
        <v>23310.198</v>
      </c>
      <c r="E23" s="157">
        <f t="shared" si="14"/>
        <v>49137.136599999998</v>
      </c>
      <c r="F23" s="129">
        <f t="shared" si="14"/>
        <v>2</v>
      </c>
      <c r="G23" s="157">
        <f t="shared" si="14"/>
        <v>156082.6692</v>
      </c>
      <c r="H23" s="157">
        <f t="shared" si="14"/>
        <v>1872992.0304</v>
      </c>
      <c r="I23" s="157">
        <f t="shared" si="14"/>
        <v>524437.7685120001</v>
      </c>
      <c r="J23" s="157">
        <f>J22</f>
        <v>2397429.7989119999</v>
      </c>
      <c r="K23" s="157">
        <f>K22</f>
        <v>0</v>
      </c>
      <c r="L23" s="157">
        <f t="shared" si="3"/>
        <v>335480</v>
      </c>
      <c r="M23" s="157">
        <v>100000</v>
      </c>
      <c r="N23" s="157">
        <v>49780</v>
      </c>
      <c r="O23" s="157">
        <f>O22</f>
        <v>0</v>
      </c>
      <c r="P23" s="157">
        <v>185700</v>
      </c>
      <c r="Q23" s="157">
        <f>Q22</f>
        <v>0</v>
      </c>
      <c r="R23" s="320">
        <v>2732.9</v>
      </c>
      <c r="S23" s="157"/>
      <c r="T23" s="157"/>
      <c r="U23" s="320">
        <v>2732.9</v>
      </c>
      <c r="V23" s="157"/>
      <c r="W23" s="157"/>
      <c r="X23" s="157">
        <f t="shared" si="8"/>
        <v>2732.9</v>
      </c>
      <c r="AA23" s="172"/>
    </row>
    <row r="24" spans="1:243" s="9" customFormat="1" ht="28.5" customHeight="1" x14ac:dyDescent="0.25">
      <c r="A24" s="114" t="s">
        <v>54</v>
      </c>
      <c r="B24" s="115" t="s">
        <v>45</v>
      </c>
      <c r="C24" s="176">
        <v>5594</v>
      </c>
      <c r="D24" s="10">
        <f>C24*4.167</f>
        <v>23310.198</v>
      </c>
      <c r="E24" s="10">
        <f>(C24+D24)*1.5</f>
        <v>43356.296999999999</v>
      </c>
      <c r="F24" s="177">
        <v>2</v>
      </c>
      <c r="G24" s="10">
        <f>(C24+D24+E24)*F24</f>
        <v>144520.99</v>
      </c>
      <c r="H24" s="10">
        <f>G24*12</f>
        <v>1734251.88</v>
      </c>
      <c r="I24" s="10">
        <f>H24*0.28</f>
        <v>485590.52640000003</v>
      </c>
      <c r="J24" s="10">
        <f t="shared" si="10"/>
        <v>2219842.4063999997</v>
      </c>
      <c r="K24" s="176"/>
      <c r="L24" s="10">
        <f t="shared" si="3"/>
        <v>0</v>
      </c>
      <c r="M24" s="176"/>
      <c r="N24" s="176"/>
      <c r="O24" s="176"/>
      <c r="P24" s="176"/>
      <c r="Q24" s="176"/>
      <c r="R24" s="319">
        <v>2219.8424063999996</v>
      </c>
      <c r="S24" s="10">
        <f>R24-T24</f>
        <v>1704.9424063999995</v>
      </c>
      <c r="T24" s="10">
        <f>ROUND(R24*0.302/1.302,1)</f>
        <v>514.9</v>
      </c>
      <c r="U24" s="319">
        <v>2219.8424063999996</v>
      </c>
      <c r="V24" s="10">
        <f>U24-W24</f>
        <v>1704.9424063999995</v>
      </c>
      <c r="W24" s="10">
        <f>ROUND(U24*0.302/1.302,1)</f>
        <v>514.9</v>
      </c>
      <c r="X24" s="10">
        <f t="shared" si="8"/>
        <v>2219.8424063999996</v>
      </c>
    </row>
    <row r="25" spans="1:243" s="173" customFormat="1" ht="16.5" x14ac:dyDescent="0.25">
      <c r="A25" s="128" t="s">
        <v>17</v>
      </c>
      <c r="B25" s="128"/>
      <c r="C25" s="157">
        <f>C24</f>
        <v>5594</v>
      </c>
      <c r="D25" s="157">
        <f t="shared" ref="D25:I25" si="15">SUM(D24:D24)</f>
        <v>23310.198</v>
      </c>
      <c r="E25" s="157">
        <f t="shared" si="15"/>
        <v>43356.296999999999</v>
      </c>
      <c r="F25" s="129">
        <f t="shared" si="15"/>
        <v>2</v>
      </c>
      <c r="G25" s="157">
        <f t="shared" si="15"/>
        <v>144520.99</v>
      </c>
      <c r="H25" s="157">
        <f t="shared" si="15"/>
        <v>1734251.88</v>
      </c>
      <c r="I25" s="157">
        <f t="shared" si="15"/>
        <v>485590.52640000003</v>
      </c>
      <c r="J25" s="157">
        <f>J24</f>
        <v>2219842.4063999997</v>
      </c>
      <c r="K25" s="157">
        <v>83860</v>
      </c>
      <c r="L25" s="157">
        <f t="shared" si="3"/>
        <v>501400</v>
      </c>
      <c r="M25" s="157">
        <v>100000</v>
      </c>
      <c r="N25" s="157">
        <v>27600</v>
      </c>
      <c r="O25" s="157">
        <v>99000</v>
      </c>
      <c r="P25" s="157">
        <v>140800</v>
      </c>
      <c r="Q25" s="157">
        <v>134000</v>
      </c>
      <c r="R25" s="320">
        <v>2805.1</v>
      </c>
      <c r="S25" s="157"/>
      <c r="T25" s="157"/>
      <c r="U25" s="320">
        <v>2805.1</v>
      </c>
      <c r="V25" s="157"/>
      <c r="W25" s="157"/>
      <c r="X25" s="157">
        <f t="shared" si="8"/>
        <v>2805.1</v>
      </c>
      <c r="Y25" s="172"/>
      <c r="Z25" s="172"/>
      <c r="AA25" s="172"/>
    </row>
    <row r="26" spans="1:243" s="9" customFormat="1" ht="16.5" x14ac:dyDescent="0.25">
      <c r="A26" s="753" t="s">
        <v>61</v>
      </c>
      <c r="B26" s="115" t="s">
        <v>44</v>
      </c>
      <c r="C26" s="176">
        <v>6100</v>
      </c>
      <c r="D26" s="10">
        <f>C26*4.167</f>
        <v>25418.699999999997</v>
      </c>
      <c r="E26" s="10">
        <f>(C26+D26)*1.5</f>
        <v>47278.049999999996</v>
      </c>
      <c r="F26" s="177">
        <v>1</v>
      </c>
      <c r="G26" s="10">
        <f>(C26+D26+E26)*F26</f>
        <v>78796.75</v>
      </c>
      <c r="H26" s="10">
        <f>G26*12</f>
        <v>945561</v>
      </c>
      <c r="I26" s="10">
        <f t="shared" ref="I26:I36" si="16">H26*0.28</f>
        <v>264757.08</v>
      </c>
      <c r="J26" s="10">
        <f t="shared" si="10"/>
        <v>1210318.08</v>
      </c>
      <c r="K26" s="176"/>
      <c r="L26" s="10">
        <f t="shared" si="3"/>
        <v>0</v>
      </c>
      <c r="M26" s="176"/>
      <c r="N26" s="176"/>
      <c r="O26" s="176"/>
      <c r="P26" s="176"/>
      <c r="Q26" s="176"/>
      <c r="R26" s="319">
        <v>1210.31808</v>
      </c>
      <c r="S26" s="10">
        <f>R26-T26</f>
        <v>929.61807999999996</v>
      </c>
      <c r="T26" s="10">
        <f>ROUND(R26*0.302/1.302,1)</f>
        <v>280.7</v>
      </c>
      <c r="U26" s="319">
        <v>1210.31808</v>
      </c>
      <c r="V26" s="10">
        <f>U26-W26</f>
        <v>929.61807999999996</v>
      </c>
      <c r="W26" s="10">
        <f>ROUND(U26*0.302/1.302,1)</f>
        <v>280.7</v>
      </c>
      <c r="X26" s="10">
        <f t="shared" si="8"/>
        <v>1210.31808</v>
      </c>
    </row>
    <row r="27" spans="1:243" s="9" customFormat="1" ht="16.5" x14ac:dyDescent="0.25">
      <c r="A27" s="753"/>
      <c r="B27" s="115" t="s">
        <v>45</v>
      </c>
      <c r="C27" s="176">
        <v>5594</v>
      </c>
      <c r="D27" s="10">
        <f>C27*4.167</f>
        <v>23310.198</v>
      </c>
      <c r="E27" s="10">
        <f>(C27+D27)*1.5</f>
        <v>43356.296999999999</v>
      </c>
      <c r="F27" s="177">
        <v>1</v>
      </c>
      <c r="G27" s="10">
        <f>(C27+D27+E27)*F27</f>
        <v>72260.494999999995</v>
      </c>
      <c r="H27" s="10">
        <f>G27*12</f>
        <v>867125.94</v>
      </c>
      <c r="I27" s="10">
        <f t="shared" si="16"/>
        <v>242795.26320000002</v>
      </c>
      <c r="J27" s="10">
        <f t="shared" si="10"/>
        <v>1109921.2031999999</v>
      </c>
      <c r="K27" s="176"/>
      <c r="L27" s="10">
        <f t="shared" si="3"/>
        <v>0</v>
      </c>
      <c r="M27" s="176"/>
      <c r="N27" s="176"/>
      <c r="O27" s="176"/>
      <c r="P27" s="176"/>
      <c r="Q27" s="176"/>
      <c r="R27" s="319">
        <v>1109.9212031999998</v>
      </c>
      <c r="S27" s="10">
        <f>R27-T27</f>
        <v>852.52120319999983</v>
      </c>
      <c r="T27" s="10">
        <f>ROUND(R27*0.302/1.302,1)</f>
        <v>257.39999999999998</v>
      </c>
      <c r="U27" s="319">
        <v>1109.9212031999998</v>
      </c>
      <c r="V27" s="10">
        <f>U27-W27</f>
        <v>852.52120319999983</v>
      </c>
      <c r="W27" s="10">
        <f>ROUND(U27*0.302/1.302,1)</f>
        <v>257.39999999999998</v>
      </c>
      <c r="X27" s="10">
        <f t="shared" si="8"/>
        <v>1109.9212031999998</v>
      </c>
    </row>
    <row r="28" spans="1:243" s="173" customFormat="1" ht="16.5" x14ac:dyDescent="0.25">
      <c r="A28" s="128" t="s">
        <v>17</v>
      </c>
      <c r="B28" s="128"/>
      <c r="C28" s="157">
        <f>SUM(C26:C27)</f>
        <v>11694</v>
      </c>
      <c r="D28" s="157">
        <f t="shared" ref="D28:K28" si="17">SUM(D26:D27)</f>
        <v>48728.898000000001</v>
      </c>
      <c r="E28" s="157">
        <f t="shared" si="17"/>
        <v>90634.346999999994</v>
      </c>
      <c r="F28" s="129">
        <f t="shared" si="17"/>
        <v>2</v>
      </c>
      <c r="G28" s="157">
        <f t="shared" si="17"/>
        <v>151057.245</v>
      </c>
      <c r="H28" s="157">
        <f t="shared" si="17"/>
        <v>1812686.94</v>
      </c>
      <c r="I28" s="157">
        <f t="shared" si="17"/>
        <v>507552.3432</v>
      </c>
      <c r="J28" s="157">
        <f t="shared" si="17"/>
        <v>2320239.2831999999</v>
      </c>
      <c r="K28" s="157">
        <f t="shared" si="17"/>
        <v>0</v>
      </c>
      <c r="L28" s="157">
        <f t="shared" si="3"/>
        <v>283700</v>
      </c>
      <c r="M28" s="157">
        <v>100000</v>
      </c>
      <c r="N28" s="157">
        <v>26700</v>
      </c>
      <c r="O28" s="157">
        <f>SUM(O26:O27)</f>
        <v>0</v>
      </c>
      <c r="P28" s="157">
        <v>72000</v>
      </c>
      <c r="Q28" s="157">
        <v>85000</v>
      </c>
      <c r="R28" s="320">
        <v>2603.9</v>
      </c>
      <c r="S28" s="157"/>
      <c r="T28" s="157"/>
      <c r="U28" s="320">
        <v>2603.9</v>
      </c>
      <c r="V28" s="157"/>
      <c r="W28" s="157"/>
      <c r="X28" s="157">
        <f t="shared" si="8"/>
        <v>2603.9</v>
      </c>
      <c r="Y28" s="172"/>
      <c r="Z28" s="172"/>
      <c r="AA28" s="172"/>
    </row>
    <row r="29" spans="1:243" s="9" customFormat="1" ht="16.5" x14ac:dyDescent="0.25">
      <c r="A29" s="753" t="s">
        <v>62</v>
      </c>
      <c r="B29" s="115" t="s">
        <v>44</v>
      </c>
      <c r="C29" s="176">
        <v>6100</v>
      </c>
      <c r="D29" s="10">
        <f>C29*4.167</f>
        <v>25418.699999999997</v>
      </c>
      <c r="E29" s="10">
        <f>(C29+D29)*1.5</f>
        <v>47278.049999999996</v>
      </c>
      <c r="F29" s="177">
        <v>1</v>
      </c>
      <c r="G29" s="10">
        <f>(C29+D29+E29)*F29</f>
        <v>78796.75</v>
      </c>
      <c r="H29" s="10">
        <f>G29*12</f>
        <v>945561</v>
      </c>
      <c r="I29" s="10">
        <f t="shared" si="16"/>
        <v>264757.08</v>
      </c>
      <c r="J29" s="10">
        <f t="shared" si="10"/>
        <v>1210318.08</v>
      </c>
      <c r="K29" s="176"/>
      <c r="L29" s="10">
        <f t="shared" si="3"/>
        <v>0</v>
      </c>
      <c r="M29" s="176"/>
      <c r="N29" s="176"/>
      <c r="O29" s="176"/>
      <c r="P29" s="176"/>
      <c r="Q29" s="176"/>
      <c r="R29" s="319">
        <v>1210.31808</v>
      </c>
      <c r="S29" s="10">
        <f>R29-T29</f>
        <v>929.61807999999996</v>
      </c>
      <c r="T29" s="10">
        <f>ROUND(R29*0.302/1.302,1)</f>
        <v>280.7</v>
      </c>
      <c r="U29" s="319">
        <v>1210.31808</v>
      </c>
      <c r="V29" s="10">
        <f>U29-W29</f>
        <v>929.61807999999996</v>
      </c>
      <c r="W29" s="10">
        <f>ROUND(U29*0.302/1.302,1)</f>
        <v>280.7</v>
      </c>
      <c r="X29" s="10">
        <f t="shared" si="8"/>
        <v>1210.31808</v>
      </c>
    </row>
    <row r="30" spans="1:243" ht="16.5" x14ac:dyDescent="0.25">
      <c r="A30" s="753"/>
      <c r="B30" s="115" t="s">
        <v>45</v>
      </c>
      <c r="C30" s="176">
        <v>5594</v>
      </c>
      <c r="D30" s="10">
        <f>C30*4.167</f>
        <v>23310.198</v>
      </c>
      <c r="E30" s="10">
        <f>(C30+D30)*1.5</f>
        <v>43356.296999999999</v>
      </c>
      <c r="F30" s="177">
        <v>1</v>
      </c>
      <c r="G30" s="10">
        <f>(C30+D30+E30)*F30</f>
        <v>72260.494999999995</v>
      </c>
      <c r="H30" s="10">
        <f>G30*12</f>
        <v>867125.94</v>
      </c>
      <c r="I30" s="10">
        <f t="shared" si="16"/>
        <v>242795.26320000002</v>
      </c>
      <c r="J30" s="10">
        <f t="shared" si="10"/>
        <v>1109921.2031999999</v>
      </c>
      <c r="K30" s="176"/>
      <c r="L30" s="10">
        <f t="shared" si="3"/>
        <v>0</v>
      </c>
      <c r="M30" s="176"/>
      <c r="N30" s="176"/>
      <c r="O30" s="176"/>
      <c r="P30" s="176"/>
      <c r="Q30" s="176"/>
      <c r="R30" s="319">
        <v>1109.9212031999998</v>
      </c>
      <c r="S30" s="10">
        <f>R30-T30</f>
        <v>852.52120319999983</v>
      </c>
      <c r="T30" s="10">
        <f>ROUND(R30*0.302/1.302,1)</f>
        <v>257.39999999999998</v>
      </c>
      <c r="U30" s="319">
        <v>1109.9212031999998</v>
      </c>
      <c r="V30" s="10">
        <f>U30-W30</f>
        <v>852.52120319999983</v>
      </c>
      <c r="W30" s="10">
        <f>ROUND(U30*0.302/1.302,1)</f>
        <v>257.39999999999998</v>
      </c>
      <c r="X30" s="10">
        <f t="shared" si="8"/>
        <v>1109.9212031999998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s="175" customFormat="1" ht="16.5" x14ac:dyDescent="0.25">
      <c r="A31" s="128" t="s">
        <v>17</v>
      </c>
      <c r="B31" s="128"/>
      <c r="C31" s="157">
        <f>SUM(C29:C30)</f>
        <v>11694</v>
      </c>
      <c r="D31" s="157">
        <f t="shared" ref="D31:K31" si="18">SUM(D29:D30)</f>
        <v>48728.898000000001</v>
      </c>
      <c r="E31" s="157">
        <f t="shared" si="18"/>
        <v>90634.346999999994</v>
      </c>
      <c r="F31" s="129">
        <f t="shared" si="18"/>
        <v>2</v>
      </c>
      <c r="G31" s="157">
        <f t="shared" si="18"/>
        <v>151057.245</v>
      </c>
      <c r="H31" s="157">
        <f t="shared" si="18"/>
        <v>1812686.94</v>
      </c>
      <c r="I31" s="157">
        <f t="shared" si="18"/>
        <v>507552.3432</v>
      </c>
      <c r="J31" s="157">
        <f t="shared" si="18"/>
        <v>2320239.2831999999</v>
      </c>
      <c r="K31" s="157">
        <f t="shared" si="18"/>
        <v>0</v>
      </c>
      <c r="L31" s="157">
        <f t="shared" si="3"/>
        <v>245800</v>
      </c>
      <c r="M31" s="157">
        <v>100000</v>
      </c>
      <c r="N31" s="157">
        <v>18000</v>
      </c>
      <c r="O31" s="157">
        <v>4800</v>
      </c>
      <c r="P31" s="157">
        <v>38000</v>
      </c>
      <c r="Q31" s="157">
        <v>85000</v>
      </c>
      <c r="R31" s="320">
        <v>2566</v>
      </c>
      <c r="S31" s="157"/>
      <c r="T31" s="157"/>
      <c r="U31" s="320">
        <v>2566</v>
      </c>
      <c r="V31" s="157"/>
      <c r="W31" s="157"/>
      <c r="X31" s="157">
        <f t="shared" si="8"/>
        <v>2566</v>
      </c>
      <c r="Y31" s="172"/>
      <c r="Z31" s="172"/>
      <c r="AA31" s="172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</row>
    <row r="32" spans="1:243" ht="16.5" x14ac:dyDescent="0.25">
      <c r="A32" s="753" t="s">
        <v>63</v>
      </c>
      <c r="B32" s="115" t="s">
        <v>44</v>
      </c>
      <c r="C32" s="176">
        <v>6100</v>
      </c>
      <c r="D32" s="10">
        <f>C32*4.167</f>
        <v>25418.699999999997</v>
      </c>
      <c r="E32" s="10">
        <f>(C32+D32)*1.5</f>
        <v>47278.049999999996</v>
      </c>
      <c r="F32" s="177">
        <v>1</v>
      </c>
      <c r="G32" s="10">
        <f>(C32+D32+E32)*F32</f>
        <v>78796.75</v>
      </c>
      <c r="H32" s="10">
        <f>G32*12</f>
        <v>945561</v>
      </c>
      <c r="I32" s="10">
        <f t="shared" si="16"/>
        <v>264757.08</v>
      </c>
      <c r="J32" s="10">
        <f t="shared" si="10"/>
        <v>1210318.08</v>
      </c>
      <c r="K32" s="176"/>
      <c r="L32" s="10">
        <f t="shared" si="3"/>
        <v>0</v>
      </c>
      <c r="M32" s="176"/>
      <c r="N32" s="176"/>
      <c r="O32" s="176"/>
      <c r="P32" s="176"/>
      <c r="Q32" s="176"/>
      <c r="R32" s="319">
        <v>1210.31808</v>
      </c>
      <c r="S32" s="10">
        <f>R32-T32</f>
        <v>929.61807999999996</v>
      </c>
      <c r="T32" s="10">
        <f>ROUND(R32*0.302/1.302,1)</f>
        <v>280.7</v>
      </c>
      <c r="U32" s="319">
        <v>1210.31808</v>
      </c>
      <c r="V32" s="10">
        <f>U32-W32</f>
        <v>929.61807999999996</v>
      </c>
      <c r="W32" s="10">
        <f>ROUND(U32*0.302/1.302,1)</f>
        <v>280.7</v>
      </c>
      <c r="X32" s="10">
        <f t="shared" si="8"/>
        <v>1210.31808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ht="16.5" x14ac:dyDescent="0.25">
      <c r="A33" s="753"/>
      <c r="B33" s="115" t="s">
        <v>45</v>
      </c>
      <c r="C33" s="176">
        <v>5594</v>
      </c>
      <c r="D33" s="10">
        <f>C33*4.167</f>
        <v>23310.198</v>
      </c>
      <c r="E33" s="10">
        <f>(C33+D33)*1.5</f>
        <v>43356.296999999999</v>
      </c>
      <c r="F33" s="177">
        <v>1</v>
      </c>
      <c r="G33" s="10">
        <f>(C33+D33+E33)*F33</f>
        <v>72260.494999999995</v>
      </c>
      <c r="H33" s="10">
        <f>G33*12</f>
        <v>867125.94</v>
      </c>
      <c r="I33" s="10">
        <f t="shared" si="16"/>
        <v>242795.26320000002</v>
      </c>
      <c r="J33" s="10">
        <f t="shared" si="10"/>
        <v>1109921.2031999999</v>
      </c>
      <c r="K33" s="176"/>
      <c r="L33" s="10">
        <f t="shared" si="3"/>
        <v>0</v>
      </c>
      <c r="M33" s="176"/>
      <c r="N33" s="176"/>
      <c r="O33" s="176"/>
      <c r="P33" s="176"/>
      <c r="Q33" s="176"/>
      <c r="R33" s="319">
        <v>1109.9212031999998</v>
      </c>
      <c r="S33" s="10">
        <f>R33-T33</f>
        <v>852.52120319999983</v>
      </c>
      <c r="T33" s="10">
        <f>ROUND(R33*0.302/1.302,1)</f>
        <v>257.39999999999998</v>
      </c>
      <c r="U33" s="319">
        <v>1109.9212031999998</v>
      </c>
      <c r="V33" s="10">
        <f>U33-W33</f>
        <v>852.52120319999983</v>
      </c>
      <c r="W33" s="10">
        <f>ROUND(U33*0.302/1.302,1)</f>
        <v>257.39999999999998</v>
      </c>
      <c r="X33" s="10">
        <f t="shared" si="8"/>
        <v>1109.9212031999998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175" customFormat="1" ht="16.5" x14ac:dyDescent="0.25">
      <c r="A34" s="128" t="s">
        <v>17</v>
      </c>
      <c r="B34" s="128"/>
      <c r="C34" s="157">
        <f>SUM(C32:C33)</f>
        <v>11694</v>
      </c>
      <c r="D34" s="157">
        <f t="shared" ref="D34:J34" si="19">SUM(D32:D33)</f>
        <v>48728.898000000001</v>
      </c>
      <c r="E34" s="157">
        <f t="shared" si="19"/>
        <v>90634.346999999994</v>
      </c>
      <c r="F34" s="129">
        <f t="shared" si="19"/>
        <v>2</v>
      </c>
      <c r="G34" s="157">
        <f t="shared" si="19"/>
        <v>151057.245</v>
      </c>
      <c r="H34" s="157">
        <f t="shared" si="19"/>
        <v>1812686.94</v>
      </c>
      <c r="I34" s="157">
        <f t="shared" si="19"/>
        <v>507552.3432</v>
      </c>
      <c r="J34" s="157">
        <f t="shared" si="19"/>
        <v>2320239.2831999999</v>
      </c>
      <c r="K34" s="157">
        <v>18300</v>
      </c>
      <c r="L34" s="157">
        <f t="shared" si="3"/>
        <v>224000</v>
      </c>
      <c r="M34" s="157">
        <v>100000</v>
      </c>
      <c r="N34" s="157">
        <v>27000</v>
      </c>
      <c r="O34" s="157">
        <v>10000</v>
      </c>
      <c r="P34" s="157">
        <v>2000</v>
      </c>
      <c r="Q34" s="157">
        <v>85000</v>
      </c>
      <c r="R34" s="320">
        <v>2562.5</v>
      </c>
      <c r="S34" s="157"/>
      <c r="T34" s="157"/>
      <c r="U34" s="320">
        <v>2562.5</v>
      </c>
      <c r="V34" s="157"/>
      <c r="W34" s="157"/>
      <c r="X34" s="157">
        <f t="shared" si="8"/>
        <v>2562.5</v>
      </c>
      <c r="Y34" s="173"/>
      <c r="Z34" s="173"/>
      <c r="AA34" s="172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</row>
    <row r="35" spans="1:243" ht="16.5" x14ac:dyDescent="0.25">
      <c r="A35" s="753" t="s">
        <v>64</v>
      </c>
      <c r="B35" s="115" t="s">
        <v>48</v>
      </c>
      <c r="C35" s="176">
        <v>6480</v>
      </c>
      <c r="D35" s="10">
        <f>C35*4.167</f>
        <v>27002.16</v>
      </c>
      <c r="E35" s="10">
        <f>(C35+D35)*1.5</f>
        <v>50223.240000000005</v>
      </c>
      <c r="F35" s="177">
        <v>1</v>
      </c>
      <c r="G35" s="10">
        <f>(C35+D35+E35)*F35</f>
        <v>83705.400000000009</v>
      </c>
      <c r="H35" s="10">
        <f>G35*12</f>
        <v>1004464.8</v>
      </c>
      <c r="I35" s="10">
        <f t="shared" si="16"/>
        <v>281250.14400000003</v>
      </c>
      <c r="J35" s="10">
        <f t="shared" si="10"/>
        <v>1285714.9440000001</v>
      </c>
      <c r="K35" s="176"/>
      <c r="L35" s="10">
        <f t="shared" si="3"/>
        <v>0</v>
      </c>
      <c r="M35" s="176"/>
      <c r="N35" s="176"/>
      <c r="O35" s="176"/>
      <c r="P35" s="176"/>
      <c r="Q35" s="176"/>
      <c r="R35" s="319">
        <v>1285.7149440000001</v>
      </c>
      <c r="S35" s="10">
        <f>R35-T35</f>
        <v>987.51494400000001</v>
      </c>
      <c r="T35" s="10">
        <f>ROUND(R35*0.302/1.302,1)</f>
        <v>298.2</v>
      </c>
      <c r="U35" s="319">
        <v>1285.7149440000001</v>
      </c>
      <c r="V35" s="10">
        <f>U35-W35</f>
        <v>987.51494400000001</v>
      </c>
      <c r="W35" s="10">
        <f>ROUND(U35*0.302/1.302,1)</f>
        <v>298.2</v>
      </c>
      <c r="X35" s="10">
        <f t="shared" si="8"/>
        <v>1285.7149440000001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ht="16.5" x14ac:dyDescent="0.25">
      <c r="A36" s="753"/>
      <c r="B36" s="115" t="s">
        <v>45</v>
      </c>
      <c r="C36" s="176">
        <v>5594</v>
      </c>
      <c r="D36" s="10">
        <f>C36*4.167</f>
        <v>23310.198</v>
      </c>
      <c r="E36" s="10">
        <f>(C36+D36)*1.5</f>
        <v>43356.296999999999</v>
      </c>
      <c r="F36" s="177">
        <v>2</v>
      </c>
      <c r="G36" s="10">
        <f>(C36+D36+E36)*F36</f>
        <v>144520.99</v>
      </c>
      <c r="H36" s="10">
        <f>G36*12</f>
        <v>1734251.88</v>
      </c>
      <c r="I36" s="10">
        <f t="shared" si="16"/>
        <v>485590.52640000003</v>
      </c>
      <c r="J36" s="10">
        <f t="shared" si="10"/>
        <v>2219842.4063999997</v>
      </c>
      <c r="K36" s="176"/>
      <c r="L36" s="10">
        <f t="shared" si="3"/>
        <v>0</v>
      </c>
      <c r="M36" s="176"/>
      <c r="N36" s="176"/>
      <c r="O36" s="176"/>
      <c r="P36" s="176"/>
      <c r="Q36" s="176"/>
      <c r="R36" s="319">
        <v>2219.8424063999996</v>
      </c>
      <c r="S36" s="10">
        <f>R36-T36</f>
        <v>1704.9424063999995</v>
      </c>
      <c r="T36" s="10">
        <f>ROUND(R36*0.302/1.302,1)</f>
        <v>514.9</v>
      </c>
      <c r="U36" s="319">
        <v>2219.8424063999996</v>
      </c>
      <c r="V36" s="10">
        <f>U36-W36</f>
        <v>1704.9424063999995</v>
      </c>
      <c r="W36" s="10">
        <f>ROUND(U36*0.302/1.302,1)</f>
        <v>514.9</v>
      </c>
      <c r="X36" s="10">
        <f t="shared" si="8"/>
        <v>2219.8424063999996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43" s="175" customFormat="1" ht="16.5" x14ac:dyDescent="0.25">
      <c r="A37" s="174" t="s">
        <v>17</v>
      </c>
      <c r="B37" s="128"/>
      <c r="C37" s="157">
        <f>SUM(C35:C36)</f>
        <v>12074</v>
      </c>
      <c r="D37" s="157">
        <f t="shared" ref="D37:K37" si="20">SUM(D35:D36)</f>
        <v>50312.358</v>
      </c>
      <c r="E37" s="157">
        <f t="shared" si="20"/>
        <v>93579.537000000011</v>
      </c>
      <c r="F37" s="129">
        <f t="shared" si="20"/>
        <v>3</v>
      </c>
      <c r="G37" s="157">
        <f t="shared" si="20"/>
        <v>228226.39</v>
      </c>
      <c r="H37" s="157">
        <f t="shared" si="20"/>
        <v>2738716.6799999997</v>
      </c>
      <c r="I37" s="157">
        <f t="shared" si="20"/>
        <v>766840.67040000006</v>
      </c>
      <c r="J37" s="157">
        <f>SUM(J35:J36)</f>
        <v>3505557.3503999999</v>
      </c>
      <c r="K37" s="157">
        <f t="shared" si="20"/>
        <v>0</v>
      </c>
      <c r="L37" s="157">
        <f t="shared" si="3"/>
        <v>476000</v>
      </c>
      <c r="M37" s="157">
        <v>150000</v>
      </c>
      <c r="N37" s="157">
        <v>60000</v>
      </c>
      <c r="O37" s="157">
        <v>80000</v>
      </c>
      <c r="P37" s="157">
        <v>56000</v>
      </c>
      <c r="Q37" s="157">
        <v>130000</v>
      </c>
      <c r="R37" s="320">
        <v>3981.6</v>
      </c>
      <c r="S37" s="157"/>
      <c r="T37" s="157"/>
      <c r="U37" s="320">
        <v>3981.6</v>
      </c>
      <c r="V37" s="157"/>
      <c r="W37" s="157"/>
      <c r="X37" s="157">
        <f t="shared" si="8"/>
        <v>3981.6</v>
      </c>
      <c r="Y37" s="173"/>
      <c r="Z37" s="173"/>
      <c r="AA37" s="172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</row>
    <row r="38" spans="1:243" ht="16.5" x14ac:dyDescent="0.25">
      <c r="A38" s="128" t="s">
        <v>4</v>
      </c>
      <c r="B38" s="128"/>
      <c r="C38" s="130">
        <f>C15+C18+C21+C23+C25+C28+C31+C34+C37</f>
        <v>116974</v>
      </c>
      <c r="D38" s="130">
        <f t="shared" ref="D38:Q38" si="21">D15+D18+D21+D23+D25+D28+D31+D34+D37</f>
        <v>478706.26033905993</v>
      </c>
      <c r="E38" s="130">
        <f t="shared" si="21"/>
        <v>899301.23010858987</v>
      </c>
      <c r="F38" s="129">
        <f t="shared" si="21"/>
        <v>31</v>
      </c>
      <c r="G38" s="130">
        <f t="shared" si="21"/>
        <v>2328309.05004765</v>
      </c>
      <c r="H38" s="130">
        <f t="shared" si="21"/>
        <v>27939708.6005718</v>
      </c>
      <c r="I38" s="130">
        <f>I15+I18+I21+I23+I25+I28+I31+I34+I37</f>
        <v>7823118.4081601044</v>
      </c>
      <c r="J38" s="130">
        <f>J15+J18+J21+J23+J25+J28+J31+J34+J37</f>
        <v>35762827.008731902</v>
      </c>
      <c r="K38" s="130">
        <f>K15+K18+K21+K23+K25+K28+K31+K34+K37</f>
        <v>538349</v>
      </c>
      <c r="L38" s="130">
        <f>L15+L18+L21+L23+L25+L28+L31+L34+L37</f>
        <v>4016680</v>
      </c>
      <c r="M38" s="130">
        <f t="shared" si="21"/>
        <v>1566300</v>
      </c>
      <c r="N38" s="130">
        <f t="shared" si="21"/>
        <v>329580</v>
      </c>
      <c r="O38" s="130">
        <f t="shared" si="21"/>
        <v>249700</v>
      </c>
      <c r="P38" s="130">
        <f t="shared" si="21"/>
        <v>845700</v>
      </c>
      <c r="Q38" s="130">
        <f t="shared" si="21"/>
        <v>1025400</v>
      </c>
      <c r="R38" s="208">
        <f>R15+R18+R21+R25+R28+R31+R34+R37+R23</f>
        <v>40317.800000000003</v>
      </c>
      <c r="S38" s="208">
        <f>SUM(S9:S37)</f>
        <v>25763.084602331903</v>
      </c>
      <c r="T38" s="208">
        <f>SUM(T9:T37)</f>
        <v>7779.8999999999978</v>
      </c>
      <c r="U38" s="208">
        <f>U15+U18+U21+U25+U28+U31+U34+U37+U23</f>
        <v>40317.800000000003</v>
      </c>
      <c r="V38" s="208">
        <f>SUM(V9:V37)</f>
        <v>25763.084602331903</v>
      </c>
      <c r="W38" s="208">
        <f>SUM(W9:W37)</f>
        <v>7779.8999999999978</v>
      </c>
      <c r="X38" s="208">
        <f>X15+X18+X21+X23+X25+X28+X31+X34+X37</f>
        <v>40317.799999999996</v>
      </c>
      <c r="Y38" s="9"/>
      <c r="Z38" s="9"/>
      <c r="AA38" s="113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</row>
    <row r="39" spans="1:243" ht="16.5" x14ac:dyDescent="0.25">
      <c r="A39" s="276"/>
      <c r="B39" s="276"/>
      <c r="C39" s="277"/>
      <c r="D39" s="277"/>
      <c r="E39" s="277"/>
      <c r="F39" s="278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9"/>
      <c r="S39" s="279"/>
      <c r="T39" s="279"/>
      <c r="U39" s="279"/>
      <c r="V39" s="279"/>
      <c r="W39" s="279"/>
      <c r="X39" s="279"/>
      <c r="Y39" s="9"/>
      <c r="Z39" s="9"/>
      <c r="AA39" s="113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</row>
    <row r="40" spans="1:243" ht="16.5" x14ac:dyDescent="0.25">
      <c r="A40" s="276"/>
      <c r="B40" s="276"/>
      <c r="C40" s="277"/>
      <c r="D40" s="277"/>
      <c r="E40" s="277"/>
      <c r="F40" s="278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9"/>
      <c r="S40" s="279"/>
      <c r="T40" s="279"/>
      <c r="U40" s="279"/>
      <c r="V40" s="279"/>
      <c r="W40" s="279"/>
      <c r="X40" s="279"/>
      <c r="Y40" s="9"/>
      <c r="Z40" s="9"/>
      <c r="AA40" s="113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</row>
    <row r="41" spans="1:243" ht="16.5" x14ac:dyDescent="0.25">
      <c r="A41" s="276"/>
      <c r="B41" s="276"/>
      <c r="C41" s="277"/>
      <c r="D41" s="277"/>
      <c r="E41" s="277"/>
      <c r="F41" s="278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9"/>
      <c r="S41" s="279"/>
      <c r="T41" s="279"/>
      <c r="U41" s="279"/>
      <c r="V41" s="279"/>
      <c r="W41" s="279"/>
      <c r="X41" s="279"/>
      <c r="Y41" s="9"/>
      <c r="Z41" s="9"/>
      <c r="AA41" s="113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</row>
    <row r="42" spans="1:243" ht="16.5" x14ac:dyDescent="0.25">
      <c r="A42" s="276"/>
      <c r="B42" s="276"/>
      <c r="C42" s="277"/>
      <c r="D42" s="277"/>
      <c r="E42" s="277"/>
      <c r="F42" s="278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9"/>
      <c r="S42" s="279"/>
      <c r="T42" s="279"/>
      <c r="U42" s="279"/>
      <c r="V42" s="279"/>
      <c r="W42" s="279"/>
      <c r="X42" s="279"/>
      <c r="Y42" s="9"/>
      <c r="Z42" s="9"/>
      <c r="AA42" s="113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243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</row>
    <row r="44" spans="1:243" ht="16.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</sheetData>
  <mergeCells count="36">
    <mergeCell ref="C7:C8"/>
    <mergeCell ref="D7:D8"/>
    <mergeCell ref="E7:E8"/>
    <mergeCell ref="F7:F8"/>
    <mergeCell ref="Y7:Y8"/>
    <mergeCell ref="J7:J8"/>
    <mergeCell ref="X6:X8"/>
    <mergeCell ref="U6:U8"/>
    <mergeCell ref="S6:S8"/>
    <mergeCell ref="Q7:Q8"/>
    <mergeCell ref="T6:T8"/>
    <mergeCell ref="V6:V8"/>
    <mergeCell ref="W6:W8"/>
    <mergeCell ref="AA6:AA8"/>
    <mergeCell ref="Z7:Z8"/>
    <mergeCell ref="M6:N6"/>
    <mergeCell ref="M7:M8"/>
    <mergeCell ref="N7:N8"/>
    <mergeCell ref="O7:O8"/>
    <mergeCell ref="P7:P8"/>
    <mergeCell ref="A1:X1"/>
    <mergeCell ref="A2:X2"/>
    <mergeCell ref="G7:G8"/>
    <mergeCell ref="A35:A36"/>
    <mergeCell ref="A19:A20"/>
    <mergeCell ref="A26:A27"/>
    <mergeCell ref="A29:A30"/>
    <mergeCell ref="A9:A14"/>
    <mergeCell ref="A16:A17"/>
    <mergeCell ref="A32:A33"/>
    <mergeCell ref="B6:B8"/>
    <mergeCell ref="A6:A8"/>
    <mergeCell ref="H7:H8"/>
    <mergeCell ref="I7:I8"/>
    <mergeCell ref="A4:R4"/>
    <mergeCell ref="R6:R8"/>
  </mergeCells>
  <printOptions horizontalCentered="1"/>
  <pageMargins left="0.19685039370078741" right="0.19685039370078741" top="0.52" bottom="0.47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6"/>
  <sheetViews>
    <sheetView topLeftCell="A34" zoomScaleNormal="100" workbookViewId="0">
      <selection activeCell="D61" sqref="D61"/>
    </sheetView>
  </sheetViews>
  <sheetFormatPr defaultRowHeight="15" x14ac:dyDescent="0.2"/>
  <cols>
    <col min="1" max="1" width="45.42578125" style="358" customWidth="1"/>
    <col min="2" max="2" width="16" style="358" customWidth="1"/>
    <col min="3" max="3" width="16.140625" style="358" customWidth="1"/>
    <col min="4" max="4" width="16.28515625" style="358" customWidth="1"/>
    <col min="5" max="5" width="16.140625" style="358" customWidth="1"/>
    <col min="6" max="6" width="13.42578125" style="358" customWidth="1"/>
    <col min="7" max="7" width="14.42578125" style="358" customWidth="1"/>
    <col min="8" max="8" width="22.85546875" style="358" hidden="1" customWidth="1"/>
    <col min="9" max="9" width="12.7109375" style="358" customWidth="1"/>
    <col min="10" max="10" width="15" style="358" customWidth="1"/>
    <col min="11" max="11" width="14.42578125" style="358" customWidth="1"/>
    <col min="12" max="12" width="15.85546875" style="358" customWidth="1"/>
    <col min="13" max="16384" width="9.140625" style="358"/>
  </cols>
  <sheetData>
    <row r="1" spans="1:12" s="362" customFormat="1" ht="15.75" x14ac:dyDescent="0.25">
      <c r="A1" s="766" t="s">
        <v>53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</row>
    <row r="2" spans="1:12" s="362" customFormat="1" ht="51" customHeight="1" x14ac:dyDescent="0.25">
      <c r="A2" s="767" t="s">
        <v>366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1:12" s="362" customFormat="1" ht="19.5" customHeight="1" x14ac:dyDescent="0.2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x14ac:dyDescent="0.2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 t="s">
        <v>15</v>
      </c>
    </row>
    <row r="5" spans="1:12" s="359" customFormat="1" ht="105" x14ac:dyDescent="0.2">
      <c r="A5" s="282" t="s">
        <v>1</v>
      </c>
      <c r="B5" s="283" t="s">
        <v>355</v>
      </c>
      <c r="C5" s="283" t="s">
        <v>356</v>
      </c>
      <c r="D5" s="283" t="s">
        <v>357</v>
      </c>
      <c r="E5" s="283" t="s">
        <v>358</v>
      </c>
      <c r="F5" s="283" t="s">
        <v>359</v>
      </c>
      <c r="G5" s="283" t="s">
        <v>360</v>
      </c>
      <c r="H5" s="283" t="s">
        <v>361</v>
      </c>
      <c r="I5" s="283" t="s">
        <v>368</v>
      </c>
      <c r="J5" s="283" t="s">
        <v>376</v>
      </c>
      <c r="K5" s="283" t="s">
        <v>377</v>
      </c>
      <c r="L5" s="283" t="s">
        <v>381</v>
      </c>
    </row>
    <row r="6" spans="1:12" s="360" customFormat="1" x14ac:dyDescent="0.2">
      <c r="A6" s="768" t="s">
        <v>362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70"/>
    </row>
    <row r="7" spans="1:12" s="360" customFormat="1" ht="15.75" x14ac:dyDescent="0.25">
      <c r="A7" s="284" t="s">
        <v>3</v>
      </c>
      <c r="B7" s="285">
        <v>2877</v>
      </c>
      <c r="C7" s="285">
        <v>363</v>
      </c>
      <c r="D7" s="285">
        <v>108</v>
      </c>
      <c r="E7" s="285">
        <v>7110</v>
      </c>
      <c r="F7" s="285">
        <v>552</v>
      </c>
      <c r="G7" s="285"/>
      <c r="H7" s="285"/>
      <c r="I7" s="285"/>
      <c r="J7" s="285">
        <v>11010</v>
      </c>
      <c r="K7" s="285">
        <v>11010</v>
      </c>
      <c r="L7" s="285">
        <v>11010</v>
      </c>
    </row>
    <row r="8" spans="1:12" s="360" customFormat="1" ht="15.75" x14ac:dyDescent="0.25">
      <c r="A8" s="284" t="s">
        <v>58</v>
      </c>
      <c r="B8" s="285">
        <v>815</v>
      </c>
      <c r="C8" s="285"/>
      <c r="D8" s="285"/>
      <c r="E8" s="285"/>
      <c r="F8" s="285"/>
      <c r="G8" s="285"/>
      <c r="H8" s="285"/>
      <c r="I8" s="285">
        <v>285</v>
      </c>
      <c r="J8" s="285">
        <v>1100</v>
      </c>
      <c r="K8" s="285">
        <v>1100</v>
      </c>
      <c r="L8" s="285">
        <v>1100</v>
      </c>
    </row>
    <row r="9" spans="1:12" s="360" customFormat="1" ht="15.75" x14ac:dyDescent="0.25">
      <c r="A9" s="284" t="s">
        <v>55</v>
      </c>
      <c r="B9" s="285">
        <v>484</v>
      </c>
      <c r="C9" s="285"/>
      <c r="D9" s="285"/>
      <c r="E9" s="285"/>
      <c r="F9" s="285"/>
      <c r="G9" s="285"/>
      <c r="H9" s="285"/>
      <c r="I9" s="285">
        <v>134</v>
      </c>
      <c r="J9" s="285">
        <v>618</v>
      </c>
      <c r="K9" s="285">
        <v>618</v>
      </c>
      <c r="L9" s="285">
        <v>618</v>
      </c>
    </row>
    <row r="10" spans="1:12" s="360" customFormat="1" ht="15.75" x14ac:dyDescent="0.25">
      <c r="A10" s="284" t="s">
        <v>60</v>
      </c>
      <c r="B10" s="285"/>
      <c r="C10" s="285"/>
      <c r="D10" s="285"/>
      <c r="E10" s="285"/>
      <c r="F10" s="285"/>
      <c r="G10" s="285">
        <v>302</v>
      </c>
      <c r="H10" s="285"/>
      <c r="I10" s="285">
        <v>29</v>
      </c>
      <c r="J10" s="285">
        <v>331</v>
      </c>
      <c r="K10" s="285">
        <v>331</v>
      </c>
      <c r="L10" s="285">
        <v>331</v>
      </c>
    </row>
    <row r="11" spans="1:12" s="360" customFormat="1" ht="15.75" x14ac:dyDescent="0.25">
      <c r="A11" s="284" t="s">
        <v>57</v>
      </c>
      <c r="B11" s="285">
        <v>228</v>
      </c>
      <c r="C11" s="285"/>
      <c r="D11" s="285"/>
      <c r="E11" s="285"/>
      <c r="F11" s="285"/>
      <c r="G11" s="285"/>
      <c r="H11" s="285"/>
      <c r="I11" s="285">
        <v>27</v>
      </c>
      <c r="J11" s="285">
        <v>255</v>
      </c>
      <c r="K11" s="285">
        <v>255</v>
      </c>
      <c r="L11" s="285">
        <v>255</v>
      </c>
    </row>
    <row r="12" spans="1:12" s="360" customFormat="1" ht="15.75" x14ac:dyDescent="0.25">
      <c r="A12" s="284" t="s">
        <v>61</v>
      </c>
      <c r="B12" s="285">
        <v>658</v>
      </c>
      <c r="C12" s="285"/>
      <c r="D12" s="285"/>
      <c r="E12" s="285">
        <v>65</v>
      </c>
      <c r="F12" s="285"/>
      <c r="G12" s="285"/>
      <c r="H12" s="285"/>
      <c r="I12" s="285">
        <v>57</v>
      </c>
      <c r="J12" s="285">
        <v>780</v>
      </c>
      <c r="K12" s="285">
        <v>780</v>
      </c>
      <c r="L12" s="285">
        <v>780</v>
      </c>
    </row>
    <row r="13" spans="1:12" s="360" customFormat="1" ht="15.75" x14ac:dyDescent="0.25">
      <c r="A13" s="284" t="s">
        <v>62</v>
      </c>
      <c r="B13" s="285">
        <v>364</v>
      </c>
      <c r="C13" s="285"/>
      <c r="D13" s="285"/>
      <c r="E13" s="285"/>
      <c r="F13" s="285"/>
      <c r="G13" s="285"/>
      <c r="H13" s="285"/>
      <c r="I13" s="285">
        <v>77</v>
      </c>
      <c r="J13" s="285">
        <v>441</v>
      </c>
      <c r="K13" s="285">
        <v>441</v>
      </c>
      <c r="L13" s="285">
        <v>441</v>
      </c>
    </row>
    <row r="14" spans="1:12" s="360" customFormat="1" ht="15.75" x14ac:dyDescent="0.25">
      <c r="A14" s="284" t="s">
        <v>63</v>
      </c>
      <c r="B14" s="285">
        <v>773</v>
      </c>
      <c r="C14" s="285"/>
      <c r="D14" s="285"/>
      <c r="E14" s="285"/>
      <c r="F14" s="285"/>
      <c r="G14" s="285"/>
      <c r="H14" s="285"/>
      <c r="I14" s="285">
        <v>37</v>
      </c>
      <c r="J14" s="285">
        <v>810</v>
      </c>
      <c r="K14" s="285">
        <v>810</v>
      </c>
      <c r="L14" s="285">
        <v>810</v>
      </c>
    </row>
    <row r="15" spans="1:12" s="361" customFormat="1" ht="15.75" x14ac:dyDescent="0.25">
      <c r="A15" s="284" t="s">
        <v>64</v>
      </c>
      <c r="B15" s="285">
        <v>908</v>
      </c>
      <c r="C15" s="285"/>
      <c r="D15" s="285"/>
      <c r="E15" s="285"/>
      <c r="F15" s="285"/>
      <c r="G15" s="285"/>
      <c r="H15" s="285"/>
      <c r="I15" s="285">
        <v>68</v>
      </c>
      <c r="J15" s="285">
        <v>976</v>
      </c>
      <c r="K15" s="285">
        <v>976</v>
      </c>
      <c r="L15" s="285">
        <v>976</v>
      </c>
    </row>
    <row r="16" spans="1:12" x14ac:dyDescent="0.2">
      <c r="A16" s="301" t="s">
        <v>4</v>
      </c>
      <c r="B16" s="287">
        <v>7107</v>
      </c>
      <c r="C16" s="287">
        <v>363</v>
      </c>
      <c r="D16" s="287">
        <v>108</v>
      </c>
      <c r="E16" s="287">
        <v>7175</v>
      </c>
      <c r="F16" s="287">
        <v>552</v>
      </c>
      <c r="G16" s="287">
        <v>302</v>
      </c>
      <c r="H16" s="287">
        <v>0</v>
      </c>
      <c r="I16" s="287">
        <v>714</v>
      </c>
      <c r="J16" s="287">
        <v>16321</v>
      </c>
      <c r="K16" s="287">
        <v>16321</v>
      </c>
      <c r="L16" s="287">
        <v>16321</v>
      </c>
    </row>
    <row r="17" spans="1:12" x14ac:dyDescent="0.2">
      <c r="A17" s="771" t="s">
        <v>343</v>
      </c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3"/>
    </row>
    <row r="18" spans="1:12" ht="30" x14ac:dyDescent="0.25">
      <c r="A18" s="284" t="s">
        <v>363</v>
      </c>
      <c r="B18" s="288">
        <v>101.4922745383839</v>
      </c>
      <c r="C18" s="288">
        <v>77.091246487281722</v>
      </c>
      <c r="D18" s="289">
        <v>435.67595219668988</v>
      </c>
      <c r="E18" s="288">
        <v>102.69993056837352</v>
      </c>
      <c r="F18" s="288">
        <v>114.67094093181259</v>
      </c>
      <c r="G18" s="290"/>
      <c r="H18" s="290"/>
      <c r="I18" s="290"/>
      <c r="J18" s="290"/>
      <c r="K18" s="290"/>
      <c r="L18" s="290"/>
    </row>
    <row r="19" spans="1:12" ht="30" x14ac:dyDescent="0.25">
      <c r="A19" s="284" t="s">
        <v>364</v>
      </c>
      <c r="B19" s="288">
        <v>128.94008035363069</v>
      </c>
      <c r="C19" s="290"/>
      <c r="D19" s="290"/>
      <c r="E19" s="288">
        <v>183.52796499491157</v>
      </c>
      <c r="F19" s="290"/>
      <c r="G19" s="288">
        <v>184.31144226591832</v>
      </c>
      <c r="H19" s="290"/>
      <c r="I19" s="291"/>
      <c r="J19" s="291"/>
      <c r="K19" s="291"/>
      <c r="L19" s="290"/>
    </row>
    <row r="20" spans="1:12" ht="15.75" x14ac:dyDescent="0.25">
      <c r="A20" s="281" t="s">
        <v>346</v>
      </c>
      <c r="B20" s="292">
        <v>837409.81374278839</v>
      </c>
      <c r="C20" s="292">
        <v>27984.122474883265</v>
      </c>
      <c r="D20" s="292">
        <v>47053.002837242508</v>
      </c>
      <c r="E20" s="292">
        <v>716803.9</v>
      </c>
      <c r="F20" s="292">
        <v>63298.359394360552</v>
      </c>
      <c r="G20" s="292">
        <v>60115.020009451924</v>
      </c>
      <c r="H20" s="292">
        <v>0</v>
      </c>
      <c r="I20" s="292">
        <v>282591.68409208499</v>
      </c>
      <c r="J20" s="292">
        <v>2035255.91</v>
      </c>
      <c r="K20" s="292">
        <v>2035255.91</v>
      </c>
      <c r="L20" s="292">
        <v>2035255.91</v>
      </c>
    </row>
    <row r="21" spans="1:12" ht="15.75" x14ac:dyDescent="0.25">
      <c r="A21" s="281" t="s">
        <v>137</v>
      </c>
      <c r="B21" s="281"/>
      <c r="C21" s="281"/>
      <c r="D21" s="281"/>
      <c r="E21" s="281"/>
      <c r="F21" s="281"/>
      <c r="G21" s="281"/>
      <c r="H21" s="281"/>
      <c r="I21" s="281"/>
      <c r="J21" s="293"/>
      <c r="K21" s="293"/>
      <c r="L21" s="293"/>
    </row>
    <row r="22" spans="1:12" ht="15.75" x14ac:dyDescent="0.25">
      <c r="A22" s="281" t="s">
        <v>3</v>
      </c>
      <c r="B22" s="293">
        <v>291993.27384693047</v>
      </c>
      <c r="C22" s="293">
        <v>27984.122474883265</v>
      </c>
      <c r="D22" s="293">
        <v>47053.002837242508</v>
      </c>
      <c r="E22" s="293">
        <v>704874.59</v>
      </c>
      <c r="F22" s="293">
        <v>63298.359394360552</v>
      </c>
      <c r="G22" s="293">
        <v>0</v>
      </c>
      <c r="H22" s="293">
        <v>0</v>
      </c>
      <c r="I22" s="293"/>
      <c r="J22" s="293">
        <v>1135203.3400000001</v>
      </c>
      <c r="K22" s="293">
        <v>1135203.3400000001</v>
      </c>
      <c r="L22" s="293">
        <v>1135203.3400000001</v>
      </c>
    </row>
    <row r="23" spans="1:12" ht="15.75" x14ac:dyDescent="0.25">
      <c r="A23" s="281" t="s">
        <v>58</v>
      </c>
      <c r="B23" s="293">
        <v>105086.16548820901</v>
      </c>
      <c r="C23" s="293">
        <v>0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125879.51795000001</v>
      </c>
      <c r="J23" s="293">
        <v>230965.683438209</v>
      </c>
      <c r="K23" s="293">
        <v>230965.683438209</v>
      </c>
      <c r="L23" s="293">
        <v>230965.683438209</v>
      </c>
    </row>
    <row r="24" spans="1:12" ht="15.75" x14ac:dyDescent="0.25">
      <c r="A24" s="281" t="s">
        <v>55</v>
      </c>
      <c r="B24" s="293">
        <v>62406.998891157251</v>
      </c>
      <c r="C24" s="293">
        <v>0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27983.995973500001</v>
      </c>
      <c r="J24" s="293">
        <v>90390.994864657259</v>
      </c>
      <c r="K24" s="293">
        <v>90390.994864657259</v>
      </c>
      <c r="L24" s="293">
        <v>90390.994864657259</v>
      </c>
    </row>
    <row r="25" spans="1:12" ht="15.75" x14ac:dyDescent="0.25">
      <c r="A25" s="281" t="s">
        <v>60</v>
      </c>
      <c r="B25" s="293">
        <v>0</v>
      </c>
      <c r="C25" s="293">
        <v>0</v>
      </c>
      <c r="D25" s="293">
        <v>0</v>
      </c>
      <c r="E25" s="293">
        <v>0</v>
      </c>
      <c r="F25" s="293">
        <v>0</v>
      </c>
      <c r="G25" s="293">
        <v>60115.020009451924</v>
      </c>
      <c r="H25" s="293">
        <v>0</v>
      </c>
      <c r="I25" s="293">
        <v>31374.6358272</v>
      </c>
      <c r="J25" s="293">
        <v>91489.655836651917</v>
      </c>
      <c r="K25" s="293">
        <v>91489.655836651917</v>
      </c>
      <c r="L25" s="293">
        <v>91489.655836651917</v>
      </c>
    </row>
    <row r="26" spans="1:12" ht="15.75" x14ac:dyDescent="0.25">
      <c r="A26" s="281" t="s">
        <v>57</v>
      </c>
      <c r="B26" s="293">
        <v>29398.338320627798</v>
      </c>
      <c r="C26" s="293">
        <v>0</v>
      </c>
      <c r="D26" s="293">
        <v>0</v>
      </c>
      <c r="E26" s="293">
        <v>0</v>
      </c>
      <c r="F26" s="293">
        <v>0</v>
      </c>
      <c r="G26" s="293">
        <v>0</v>
      </c>
      <c r="H26" s="293">
        <v>0</v>
      </c>
      <c r="I26" s="293">
        <v>16486.684073585002</v>
      </c>
      <c r="J26" s="293">
        <v>45885.0223942128</v>
      </c>
      <c r="K26" s="293">
        <v>45885.0223942128</v>
      </c>
      <c r="L26" s="293">
        <v>45885.0223942128</v>
      </c>
    </row>
    <row r="27" spans="1:12" ht="15.75" x14ac:dyDescent="0.25">
      <c r="A27" s="281" t="s">
        <v>61</v>
      </c>
      <c r="B27" s="293">
        <v>84842.572872688994</v>
      </c>
      <c r="C27" s="293">
        <v>0</v>
      </c>
      <c r="D27" s="293">
        <v>0</v>
      </c>
      <c r="E27" s="293">
        <v>11929.317724669252</v>
      </c>
      <c r="F27" s="293">
        <v>0</v>
      </c>
      <c r="G27" s="293">
        <v>0</v>
      </c>
      <c r="H27" s="293">
        <v>0</v>
      </c>
      <c r="I27" s="293">
        <v>15799.646720000001</v>
      </c>
      <c r="J27" s="293">
        <v>112571.53731735825</v>
      </c>
      <c r="K27" s="293">
        <v>112571.53731735825</v>
      </c>
      <c r="L27" s="293">
        <v>112571.53731735825</v>
      </c>
    </row>
    <row r="28" spans="1:12" ht="15.75" x14ac:dyDescent="0.25">
      <c r="A28" s="281" t="s">
        <v>62</v>
      </c>
      <c r="B28" s="293">
        <v>46934.189248721574</v>
      </c>
      <c r="C28" s="293">
        <v>0</v>
      </c>
      <c r="D28" s="293">
        <v>0</v>
      </c>
      <c r="E28" s="293">
        <v>0</v>
      </c>
      <c r="F28" s="293">
        <v>0</v>
      </c>
      <c r="G28" s="293">
        <v>0</v>
      </c>
      <c r="H28" s="293">
        <v>0</v>
      </c>
      <c r="I28" s="293">
        <v>21617.407999999999</v>
      </c>
      <c r="J28" s="293">
        <v>68551.597248721577</v>
      </c>
      <c r="K28" s="293">
        <v>68551.597248721577</v>
      </c>
      <c r="L28" s="293">
        <v>68551.597248721577</v>
      </c>
    </row>
    <row r="29" spans="1:12" ht="15.75" x14ac:dyDescent="0.25">
      <c r="A29" s="281" t="s">
        <v>63</v>
      </c>
      <c r="B29" s="293">
        <v>99670.682113356524</v>
      </c>
      <c r="C29" s="293">
        <v>0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16794.713088</v>
      </c>
      <c r="J29" s="293">
        <v>116465.39520135653</v>
      </c>
      <c r="K29" s="293">
        <v>116465.39520135653</v>
      </c>
      <c r="L29" s="293">
        <v>116465.39520135653</v>
      </c>
    </row>
    <row r="30" spans="1:12" ht="15.75" x14ac:dyDescent="0.25">
      <c r="A30" s="281" t="s">
        <v>64</v>
      </c>
      <c r="B30" s="293">
        <v>117077.59296109667</v>
      </c>
      <c r="C30" s="293">
        <v>0</v>
      </c>
      <c r="D30" s="293">
        <v>0</v>
      </c>
      <c r="E30" s="293">
        <v>0</v>
      </c>
      <c r="F30" s="293">
        <v>0</v>
      </c>
      <c r="G30" s="293">
        <v>0</v>
      </c>
      <c r="H30" s="293">
        <v>0</v>
      </c>
      <c r="I30" s="293">
        <v>26655.082459800004</v>
      </c>
      <c r="J30" s="293">
        <v>143732.67542089667</v>
      </c>
      <c r="K30" s="293">
        <v>143732.67542089667</v>
      </c>
      <c r="L30" s="293">
        <v>143732.67542089667</v>
      </c>
    </row>
    <row r="31" spans="1:12" x14ac:dyDescent="0.2">
      <c r="A31" s="771" t="s">
        <v>347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3"/>
    </row>
    <row r="32" spans="1:12" ht="30" x14ac:dyDescent="0.25">
      <c r="A32" s="284" t="s">
        <v>363</v>
      </c>
      <c r="B32" s="288">
        <v>2.8417836870747486</v>
      </c>
      <c r="C32" s="288">
        <v>2.1585549016438881</v>
      </c>
      <c r="D32" s="288">
        <v>12.198926661507315</v>
      </c>
      <c r="E32" s="288">
        <v>2.8755980559144581</v>
      </c>
      <c r="F32" s="288">
        <v>3.2107863460907522</v>
      </c>
      <c r="G32" s="288">
        <v>0</v>
      </c>
      <c r="H32" s="289">
        <v>0</v>
      </c>
      <c r="I32" s="289" t="s">
        <v>220</v>
      </c>
      <c r="J32" s="289"/>
      <c r="K32" s="289"/>
      <c r="L32" s="285"/>
    </row>
    <row r="33" spans="1:12" ht="30" x14ac:dyDescent="0.25">
      <c r="A33" s="284" t="s">
        <v>364</v>
      </c>
      <c r="B33" s="288">
        <v>3.610322249901659</v>
      </c>
      <c r="C33" s="288">
        <v>0</v>
      </c>
      <c r="D33" s="288">
        <v>0</v>
      </c>
      <c r="E33" s="288">
        <v>5.1387830198575237</v>
      </c>
      <c r="F33" s="288">
        <v>0</v>
      </c>
      <c r="G33" s="288">
        <v>5.160720383445712</v>
      </c>
      <c r="H33" s="289">
        <v>0</v>
      </c>
      <c r="I33" s="289" t="s">
        <v>220</v>
      </c>
      <c r="J33" s="289"/>
      <c r="K33" s="289"/>
      <c r="L33" s="285"/>
    </row>
    <row r="34" spans="1:12" ht="30" x14ac:dyDescent="0.25">
      <c r="A34" s="284" t="s">
        <v>349</v>
      </c>
      <c r="B34" s="294">
        <v>23447.474784798065</v>
      </c>
      <c r="C34" s="294">
        <v>783.5554292967314</v>
      </c>
      <c r="D34" s="294">
        <v>1317.4840794427901</v>
      </c>
      <c r="E34" s="294">
        <v>20779.523073842534</v>
      </c>
      <c r="F34" s="294">
        <v>1772.3540630420953</v>
      </c>
      <c r="G34" s="294">
        <v>1558.5375558006051</v>
      </c>
      <c r="H34" s="294">
        <v>0</v>
      </c>
      <c r="I34" s="292">
        <v>7912.5671545783798</v>
      </c>
      <c r="J34" s="293">
        <v>57571.496140801195</v>
      </c>
      <c r="K34" s="293">
        <v>57571.496140801195</v>
      </c>
      <c r="L34" s="293">
        <v>57571.496140801195</v>
      </c>
    </row>
    <row r="35" spans="1:12" ht="15.75" x14ac:dyDescent="0.25">
      <c r="A35" s="281" t="s">
        <v>137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2" ht="15.75" x14ac:dyDescent="0.25">
      <c r="A36" s="281" t="s">
        <v>3</v>
      </c>
      <c r="B36" s="295">
        <v>8175.8116677140515</v>
      </c>
      <c r="C36" s="295">
        <v>783.5554292967314</v>
      </c>
      <c r="D36" s="295">
        <v>1317.4840794427901</v>
      </c>
      <c r="E36" s="295">
        <v>20445.502177551796</v>
      </c>
      <c r="F36" s="295">
        <v>1772.3540630420953</v>
      </c>
      <c r="G36" s="295">
        <v>0</v>
      </c>
      <c r="H36" s="295">
        <v>0</v>
      </c>
      <c r="I36" s="295">
        <v>0</v>
      </c>
      <c r="J36" s="293">
        <v>32494.707417047463</v>
      </c>
      <c r="K36" s="293">
        <v>32494.707417047463</v>
      </c>
      <c r="L36" s="293">
        <v>32494.707417047463</v>
      </c>
    </row>
    <row r="37" spans="1:12" ht="15.75" x14ac:dyDescent="0.25">
      <c r="A37" s="281" t="s">
        <v>58</v>
      </c>
      <c r="B37" s="295">
        <v>2942.4126336698519</v>
      </c>
      <c r="C37" s="295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3524.6265026000001</v>
      </c>
      <c r="J37" s="293">
        <v>6467.039136269852</v>
      </c>
      <c r="K37" s="293">
        <v>6467.039136269852</v>
      </c>
      <c r="L37" s="293">
        <v>6467.039136269852</v>
      </c>
    </row>
    <row r="38" spans="1:12" ht="15.75" x14ac:dyDescent="0.25">
      <c r="A38" s="281" t="s">
        <v>55</v>
      </c>
      <c r="B38" s="295">
        <v>1747.3959689524029</v>
      </c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783.55188725799997</v>
      </c>
      <c r="J38" s="293">
        <v>2530.9478562104027</v>
      </c>
      <c r="K38" s="293">
        <v>2530.9478562104027</v>
      </c>
      <c r="L38" s="293">
        <v>2530.9478562104027</v>
      </c>
    </row>
    <row r="39" spans="1:12" ht="15.75" x14ac:dyDescent="0.25">
      <c r="A39" s="281" t="s">
        <v>60</v>
      </c>
      <c r="B39" s="295">
        <v>0</v>
      </c>
      <c r="C39" s="295">
        <v>0</v>
      </c>
      <c r="D39" s="295">
        <v>0</v>
      </c>
      <c r="E39" s="295">
        <v>0</v>
      </c>
      <c r="F39" s="295">
        <v>0</v>
      </c>
      <c r="G39" s="295">
        <v>1558.5375558006051</v>
      </c>
      <c r="H39" s="295"/>
      <c r="I39" s="295">
        <v>878.48980316159987</v>
      </c>
      <c r="J39" s="293">
        <v>2437.0273589622047</v>
      </c>
      <c r="K39" s="293">
        <v>2437.0273589622047</v>
      </c>
      <c r="L39" s="293">
        <v>2437.0273589622047</v>
      </c>
    </row>
    <row r="40" spans="1:12" ht="15.75" x14ac:dyDescent="0.25">
      <c r="A40" s="281" t="s">
        <v>57</v>
      </c>
      <c r="B40" s="295">
        <v>823.15347297757819</v>
      </c>
      <c r="C40" s="295">
        <v>0</v>
      </c>
      <c r="D40" s="295">
        <v>0</v>
      </c>
      <c r="E40" s="295">
        <v>0</v>
      </c>
      <c r="F40" s="295">
        <v>0</v>
      </c>
      <c r="G40" s="295">
        <v>0</v>
      </c>
      <c r="H40" s="295"/>
      <c r="I40" s="295">
        <v>461.62715406038001</v>
      </c>
      <c r="J40" s="293">
        <v>1284.7806270379583</v>
      </c>
      <c r="K40" s="293">
        <v>1284.7806270379583</v>
      </c>
      <c r="L40" s="293">
        <v>1284.7806270379583</v>
      </c>
    </row>
    <row r="41" spans="1:12" ht="15.75" x14ac:dyDescent="0.25">
      <c r="A41" s="281" t="s">
        <v>61</v>
      </c>
      <c r="B41" s="295">
        <v>2375.5920404352914</v>
      </c>
      <c r="C41" s="295">
        <v>0</v>
      </c>
      <c r="D41" s="295">
        <v>0</v>
      </c>
      <c r="E41" s="295">
        <v>334.02089629073902</v>
      </c>
      <c r="F41" s="295">
        <v>0</v>
      </c>
      <c r="G41" s="295">
        <v>0</v>
      </c>
      <c r="H41" s="295"/>
      <c r="I41" s="295">
        <v>442.39010815999995</v>
      </c>
      <c r="J41" s="293">
        <v>3152.0030448860307</v>
      </c>
      <c r="K41" s="293">
        <v>3152.0030448860307</v>
      </c>
      <c r="L41" s="293">
        <v>3152.0030448860307</v>
      </c>
    </row>
    <row r="42" spans="1:12" ht="15.75" x14ac:dyDescent="0.25">
      <c r="A42" s="281" t="s">
        <v>62</v>
      </c>
      <c r="B42" s="295">
        <v>1314.1572989642038</v>
      </c>
      <c r="C42" s="295">
        <v>0</v>
      </c>
      <c r="D42" s="295">
        <v>0</v>
      </c>
      <c r="E42" s="295">
        <v>0</v>
      </c>
      <c r="F42" s="295">
        <v>0</v>
      </c>
      <c r="G42" s="295">
        <v>0</v>
      </c>
      <c r="H42" s="295"/>
      <c r="I42" s="295">
        <v>605.28742399999987</v>
      </c>
      <c r="J42" s="293">
        <v>1919.4447229642037</v>
      </c>
      <c r="K42" s="293">
        <v>1919.4447229642037</v>
      </c>
      <c r="L42" s="293">
        <v>1919.4447229642037</v>
      </c>
    </row>
    <row r="43" spans="1:12" ht="15.75" x14ac:dyDescent="0.25">
      <c r="A43" s="281" t="s">
        <v>63</v>
      </c>
      <c r="B43" s="295">
        <v>2790.7790991739826</v>
      </c>
      <c r="C43" s="295">
        <v>0</v>
      </c>
      <c r="D43" s="295">
        <v>0</v>
      </c>
      <c r="E43" s="295">
        <v>0</v>
      </c>
      <c r="F43" s="295">
        <v>0</v>
      </c>
      <c r="G43" s="295">
        <v>0</v>
      </c>
      <c r="H43" s="295"/>
      <c r="I43" s="295">
        <v>470.25196646399996</v>
      </c>
      <c r="J43" s="293">
        <v>3261.0310656379825</v>
      </c>
      <c r="K43" s="293">
        <v>3261.0310656379825</v>
      </c>
      <c r="L43" s="293">
        <v>3261.0310656379825</v>
      </c>
    </row>
    <row r="44" spans="1:12" ht="15.75" x14ac:dyDescent="0.25">
      <c r="A44" s="281" t="s">
        <v>64</v>
      </c>
      <c r="B44" s="295">
        <v>3278.1726029107062</v>
      </c>
      <c r="C44" s="295">
        <v>0</v>
      </c>
      <c r="D44" s="295">
        <v>0</v>
      </c>
      <c r="E44" s="295">
        <v>0</v>
      </c>
      <c r="F44" s="295">
        <v>0</v>
      </c>
      <c r="G44" s="295">
        <v>0</v>
      </c>
      <c r="H44" s="295"/>
      <c r="I44" s="295">
        <v>746.34230887440003</v>
      </c>
      <c r="J44" s="293">
        <v>4024.5149117851061</v>
      </c>
      <c r="K44" s="293">
        <v>4024.5149117851061</v>
      </c>
      <c r="L44" s="293">
        <v>4024.5149117851061</v>
      </c>
    </row>
    <row r="45" spans="1:12" ht="21" customHeight="1" x14ac:dyDescent="0.2">
      <c r="A45" s="763" t="s">
        <v>365</v>
      </c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5"/>
    </row>
    <row r="46" spans="1:12" ht="15.75" x14ac:dyDescent="0.25">
      <c r="A46" s="281" t="s">
        <v>352</v>
      </c>
      <c r="B46" s="292">
        <v>860857.28852758638</v>
      </c>
      <c r="C46" s="292">
        <v>28767.677904179996</v>
      </c>
      <c r="D46" s="292">
        <v>48370.486916685295</v>
      </c>
      <c r="E46" s="292">
        <v>737583.43</v>
      </c>
      <c r="F46" s="292">
        <v>65070.71345740265</v>
      </c>
      <c r="G46" s="292">
        <v>61673.557565252529</v>
      </c>
      <c r="H46" s="292">
        <v>0</v>
      </c>
      <c r="I46" s="292">
        <v>290504.25124666339</v>
      </c>
      <c r="J46" s="292">
        <v>2092827.4</v>
      </c>
      <c r="K46" s="292">
        <v>2092827.4</v>
      </c>
      <c r="L46" s="292">
        <v>2092827.4</v>
      </c>
    </row>
    <row r="47" spans="1:12" ht="15.75" x14ac:dyDescent="0.25">
      <c r="A47" s="281" t="s">
        <v>137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</row>
    <row r="48" spans="1:12" ht="15.75" x14ac:dyDescent="0.25">
      <c r="A48" s="281" t="s">
        <v>3</v>
      </c>
      <c r="B48" s="293">
        <v>300169.08551464451</v>
      </c>
      <c r="C48" s="293">
        <v>28767.677904179996</v>
      </c>
      <c r="D48" s="293">
        <v>48370.486916685295</v>
      </c>
      <c r="E48" s="293">
        <v>725320.09</v>
      </c>
      <c r="F48" s="293">
        <v>65070.71345740265</v>
      </c>
      <c r="G48" s="293">
        <v>0</v>
      </c>
      <c r="H48" s="293">
        <v>0</v>
      </c>
      <c r="I48" s="293">
        <v>0</v>
      </c>
      <c r="J48" s="293">
        <v>1167698.2</v>
      </c>
      <c r="K48" s="293">
        <v>1167698.2</v>
      </c>
      <c r="L48" s="293">
        <v>1167698.2</v>
      </c>
    </row>
    <row r="49" spans="1:12" ht="15.75" x14ac:dyDescent="0.25">
      <c r="A49" s="281" t="s">
        <v>58</v>
      </c>
      <c r="B49" s="293">
        <v>108028.57812187886</v>
      </c>
      <c r="C49" s="293">
        <v>0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6">
        <v>129404.14445260001</v>
      </c>
      <c r="J49" s="293">
        <v>237432.7</v>
      </c>
      <c r="K49" s="293">
        <v>237432.7</v>
      </c>
      <c r="L49" s="293">
        <v>237432.7</v>
      </c>
    </row>
    <row r="50" spans="1:12" ht="15.75" x14ac:dyDescent="0.25">
      <c r="A50" s="281" t="s">
        <v>55</v>
      </c>
      <c r="B50" s="293">
        <v>64154.394860109656</v>
      </c>
      <c r="C50" s="293">
        <v>0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28767.547860758001</v>
      </c>
      <c r="J50" s="293">
        <v>92921.9</v>
      </c>
      <c r="K50" s="293">
        <v>92921.9</v>
      </c>
      <c r="L50" s="293">
        <v>92921.9</v>
      </c>
    </row>
    <row r="51" spans="1:12" ht="15.75" x14ac:dyDescent="0.25">
      <c r="A51" s="281" t="s">
        <v>60</v>
      </c>
      <c r="B51" s="293">
        <v>0</v>
      </c>
      <c r="C51" s="293">
        <v>0</v>
      </c>
      <c r="D51" s="293">
        <v>0</v>
      </c>
      <c r="E51" s="293">
        <v>0</v>
      </c>
      <c r="F51" s="293">
        <v>0</v>
      </c>
      <c r="G51" s="293">
        <v>61673.557565252529</v>
      </c>
      <c r="H51" s="293">
        <v>0</v>
      </c>
      <c r="I51" s="293">
        <v>32253.125630361599</v>
      </c>
      <c r="J51" s="293">
        <v>93926.7</v>
      </c>
      <c r="K51" s="293">
        <v>93926.7</v>
      </c>
      <c r="L51" s="293">
        <v>93926.7</v>
      </c>
    </row>
    <row r="52" spans="1:12" ht="15.75" x14ac:dyDescent="0.25">
      <c r="A52" s="281" t="s">
        <v>57</v>
      </c>
      <c r="B52" s="293">
        <v>30221.491793605375</v>
      </c>
      <c r="C52" s="293">
        <v>0</v>
      </c>
      <c r="D52" s="293">
        <v>0</v>
      </c>
      <c r="E52" s="293">
        <v>0</v>
      </c>
      <c r="F52" s="293">
        <v>0</v>
      </c>
      <c r="G52" s="293">
        <v>0</v>
      </c>
      <c r="H52" s="293">
        <v>0</v>
      </c>
      <c r="I52" s="293">
        <v>16948.311227645383</v>
      </c>
      <c r="J52" s="293">
        <v>47169.8</v>
      </c>
      <c r="K52" s="293">
        <v>47169.8</v>
      </c>
      <c r="L52" s="293">
        <v>47169.8</v>
      </c>
    </row>
    <row r="53" spans="1:12" ht="15.75" x14ac:dyDescent="0.25">
      <c r="A53" s="281" t="s">
        <v>61</v>
      </c>
      <c r="B53" s="293">
        <v>87218.164913124288</v>
      </c>
      <c r="C53" s="293">
        <v>0</v>
      </c>
      <c r="D53" s="293">
        <v>0</v>
      </c>
      <c r="E53" s="293">
        <v>12263.33862095999</v>
      </c>
      <c r="F53" s="293">
        <v>0</v>
      </c>
      <c r="G53" s="293">
        <v>0</v>
      </c>
      <c r="H53" s="293">
        <v>0</v>
      </c>
      <c r="I53" s="293">
        <v>16242.03682816</v>
      </c>
      <c r="J53" s="293">
        <v>115723.5</v>
      </c>
      <c r="K53" s="293">
        <v>115723.5</v>
      </c>
      <c r="L53" s="293">
        <v>115723.5</v>
      </c>
    </row>
    <row r="54" spans="1:12" ht="15.75" x14ac:dyDescent="0.25">
      <c r="A54" s="281" t="s">
        <v>62</v>
      </c>
      <c r="B54" s="293">
        <v>48248.346547685775</v>
      </c>
      <c r="C54" s="293">
        <v>0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22222.695423999998</v>
      </c>
      <c r="J54" s="293">
        <v>70471</v>
      </c>
      <c r="K54" s="293">
        <v>70471</v>
      </c>
      <c r="L54" s="293">
        <v>70471</v>
      </c>
    </row>
    <row r="55" spans="1:12" ht="15.75" x14ac:dyDescent="0.25">
      <c r="A55" s="281" t="s">
        <v>63</v>
      </c>
      <c r="B55" s="293">
        <v>102461.46121253051</v>
      </c>
      <c r="C55" s="293">
        <v>0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17264.965054463999</v>
      </c>
      <c r="J55" s="293">
        <v>119726.39999999999</v>
      </c>
      <c r="K55" s="293">
        <v>119726.39999999999</v>
      </c>
      <c r="L55" s="293">
        <v>119726.39999999999</v>
      </c>
    </row>
    <row r="56" spans="1:12" ht="15.75" x14ac:dyDescent="0.25">
      <c r="A56" s="281" t="s">
        <v>64</v>
      </c>
      <c r="B56" s="293">
        <v>120355.76556400738</v>
      </c>
      <c r="C56" s="293">
        <v>0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27401.424768674402</v>
      </c>
      <c r="J56" s="293">
        <v>147757.20000000001</v>
      </c>
      <c r="K56" s="293">
        <v>147757.20000000001</v>
      </c>
      <c r="L56" s="293">
        <v>147757.20000000001</v>
      </c>
    </row>
  </sheetData>
  <mergeCells count="6">
    <mergeCell ref="A45:L45"/>
    <mergeCell ref="A1:L1"/>
    <mergeCell ref="A2:L2"/>
    <mergeCell ref="A6:L6"/>
    <mergeCell ref="A17:L17"/>
    <mergeCell ref="A31:L31"/>
  </mergeCells>
  <pageMargins left="0.31496062992125984" right="0.23622047244094491" top="0.74803149606299213" bottom="0.43307086614173229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D74"/>
  <sheetViews>
    <sheetView topLeftCell="A55" zoomScaleNormal="100" workbookViewId="0">
      <selection activeCell="B20" sqref="B20"/>
    </sheetView>
  </sheetViews>
  <sheetFormatPr defaultRowHeight="15" x14ac:dyDescent="0.2"/>
  <cols>
    <col min="1" max="1" width="37" style="77" customWidth="1"/>
    <col min="2" max="2" width="24.42578125" style="77" customWidth="1"/>
    <col min="3" max="3" width="24.140625" style="77" customWidth="1"/>
    <col min="4" max="4" width="19.5703125" style="77" customWidth="1"/>
    <col min="5" max="5" width="15.140625" style="77" customWidth="1"/>
    <col min="6" max="6" width="15" style="77" customWidth="1"/>
    <col min="7" max="16384" width="9.140625" style="77"/>
  </cols>
  <sheetData>
    <row r="1" spans="1:238" s="344" customFormat="1" ht="15.75" x14ac:dyDescent="0.25">
      <c r="A1" s="777" t="s">
        <v>53</v>
      </c>
      <c r="B1" s="777"/>
      <c r="C1" s="777"/>
      <c r="D1" s="777"/>
    </row>
    <row r="2" spans="1:238" s="344" customFormat="1" ht="48" customHeight="1" x14ac:dyDescent="0.25">
      <c r="A2" s="776" t="s">
        <v>372</v>
      </c>
      <c r="B2" s="776"/>
      <c r="C2" s="776"/>
      <c r="D2" s="776"/>
    </row>
    <row r="3" spans="1:238" s="344" customFormat="1" ht="27.75" customHeight="1" x14ac:dyDescent="0.25">
      <c r="A3" s="345"/>
      <c r="B3" s="345"/>
      <c r="C3" s="345"/>
      <c r="D3" s="345"/>
    </row>
    <row r="4" spans="1:238" x14ac:dyDescent="0.2">
      <c r="A4" s="79"/>
      <c r="D4" s="346" t="s">
        <v>15</v>
      </c>
    </row>
    <row r="5" spans="1:238" ht="63" x14ac:dyDescent="0.2">
      <c r="A5" s="325" t="s">
        <v>1</v>
      </c>
      <c r="B5" s="325" t="s">
        <v>373</v>
      </c>
      <c r="C5" s="325" t="s">
        <v>374</v>
      </c>
      <c r="D5" s="325" t="s">
        <v>375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s="83" customFormat="1" ht="26.25" customHeight="1" x14ac:dyDescent="0.2">
      <c r="A6" s="778" t="s">
        <v>342</v>
      </c>
      <c r="B6" s="778"/>
      <c r="C6" s="778"/>
      <c r="D6" s="778"/>
    </row>
    <row r="7" spans="1:238" s="83" customFormat="1" ht="15.75" x14ac:dyDescent="0.25">
      <c r="A7" s="326" t="s">
        <v>3</v>
      </c>
      <c r="B7" s="327">
        <v>853</v>
      </c>
      <c r="C7" s="327">
        <v>5259</v>
      </c>
      <c r="D7" s="327">
        <v>6112</v>
      </c>
    </row>
    <row r="8" spans="1:238" s="83" customFormat="1" ht="15.75" x14ac:dyDescent="0.25">
      <c r="A8" s="326" t="s">
        <v>58</v>
      </c>
      <c r="B8" s="327">
        <v>0</v>
      </c>
      <c r="C8" s="327">
        <v>473</v>
      </c>
      <c r="D8" s="327">
        <v>473</v>
      </c>
    </row>
    <row r="9" spans="1:238" s="83" customFormat="1" ht="15.75" x14ac:dyDescent="0.25">
      <c r="A9" s="326" t="s">
        <v>55</v>
      </c>
      <c r="B9" s="327">
        <v>0</v>
      </c>
      <c r="C9" s="327">
        <v>345</v>
      </c>
      <c r="D9" s="327">
        <v>345</v>
      </c>
    </row>
    <row r="10" spans="1:238" s="83" customFormat="1" ht="15.75" x14ac:dyDescent="0.25">
      <c r="A10" s="326" t="s">
        <v>60</v>
      </c>
      <c r="B10" s="327">
        <v>0</v>
      </c>
      <c r="C10" s="327">
        <v>174</v>
      </c>
      <c r="D10" s="327">
        <v>174</v>
      </c>
    </row>
    <row r="11" spans="1:238" s="83" customFormat="1" ht="15.75" x14ac:dyDescent="0.25">
      <c r="A11" s="326" t="s">
        <v>57</v>
      </c>
      <c r="B11" s="327">
        <v>30</v>
      </c>
      <c r="C11" s="327">
        <v>114</v>
      </c>
      <c r="D11" s="327">
        <v>144</v>
      </c>
    </row>
    <row r="12" spans="1:238" s="83" customFormat="1" ht="15.75" x14ac:dyDescent="0.25">
      <c r="A12" s="326" t="s">
        <v>61</v>
      </c>
      <c r="B12" s="327">
        <v>0</v>
      </c>
      <c r="C12" s="327">
        <v>322</v>
      </c>
      <c r="D12" s="327">
        <v>322</v>
      </c>
    </row>
    <row r="13" spans="1:238" s="83" customFormat="1" ht="15.75" x14ac:dyDescent="0.25">
      <c r="A13" s="326" t="s">
        <v>62</v>
      </c>
      <c r="B13" s="327">
        <v>29</v>
      </c>
      <c r="C13" s="327">
        <v>139</v>
      </c>
      <c r="D13" s="327">
        <v>168</v>
      </c>
    </row>
    <row r="14" spans="1:238" s="83" customFormat="1" ht="15.75" x14ac:dyDescent="0.25">
      <c r="A14" s="326" t="s">
        <v>63</v>
      </c>
      <c r="B14" s="327">
        <v>0</v>
      </c>
      <c r="C14" s="327">
        <v>400</v>
      </c>
      <c r="D14" s="327">
        <v>400</v>
      </c>
    </row>
    <row r="15" spans="1:238" s="83" customFormat="1" ht="15.75" x14ac:dyDescent="0.25">
      <c r="A15" s="326" t="s">
        <v>64</v>
      </c>
      <c r="B15" s="327">
        <v>0</v>
      </c>
      <c r="C15" s="327">
        <v>462</v>
      </c>
      <c r="D15" s="327">
        <v>462</v>
      </c>
    </row>
    <row r="16" spans="1:238" s="205" customFormat="1" ht="15.75" x14ac:dyDescent="0.25">
      <c r="A16" s="328" t="s">
        <v>4</v>
      </c>
      <c r="B16" s="329">
        <v>912</v>
      </c>
      <c r="C16" s="329">
        <v>7688</v>
      </c>
      <c r="D16" s="329">
        <v>8600</v>
      </c>
    </row>
    <row r="17" spans="1:4" s="81" customFormat="1" ht="24" customHeight="1" x14ac:dyDescent="0.2">
      <c r="A17" s="775" t="s">
        <v>343</v>
      </c>
      <c r="B17" s="775"/>
      <c r="C17" s="775"/>
      <c r="D17" s="775"/>
    </row>
    <row r="18" spans="1:4" ht="31.5" x14ac:dyDescent="0.25">
      <c r="A18" s="330" t="s">
        <v>344</v>
      </c>
      <c r="B18" s="331">
        <v>272.61</v>
      </c>
      <c r="C18" s="332">
        <v>129.30000000000001</v>
      </c>
      <c r="D18" s="332"/>
    </row>
    <row r="19" spans="1:4" ht="63" x14ac:dyDescent="0.25">
      <c r="A19" s="333" t="s">
        <v>371</v>
      </c>
      <c r="B19" s="331">
        <v>274.56</v>
      </c>
      <c r="C19" s="331">
        <v>190.24</v>
      </c>
      <c r="D19" s="332"/>
    </row>
    <row r="20" spans="1:4" ht="47.25" x14ac:dyDescent="0.25">
      <c r="A20" s="333" t="s">
        <v>345</v>
      </c>
      <c r="B20" s="331"/>
      <c r="C20" s="331">
        <v>205.45920000000001</v>
      </c>
      <c r="D20" s="332"/>
    </row>
    <row r="21" spans="1:4" ht="31.5" x14ac:dyDescent="0.25">
      <c r="A21" s="334" t="s">
        <v>346</v>
      </c>
      <c r="B21" s="332">
        <v>248735.37</v>
      </c>
      <c r="C21" s="332">
        <v>1144729.8008000003</v>
      </c>
      <c r="D21" s="332">
        <v>1393465.2</v>
      </c>
    </row>
    <row r="22" spans="1:4" ht="15.75" x14ac:dyDescent="0.25">
      <c r="A22" s="333" t="s">
        <v>137</v>
      </c>
      <c r="B22" s="332"/>
      <c r="C22" s="332"/>
      <c r="D22" s="332"/>
    </row>
    <row r="23" spans="1:4" ht="15.75" x14ac:dyDescent="0.25">
      <c r="A23" s="326" t="s">
        <v>3</v>
      </c>
      <c r="B23" s="332">
        <v>232536.33000000002</v>
      </c>
      <c r="C23" s="332">
        <v>679988.70000000007</v>
      </c>
      <c r="D23" s="332">
        <v>912525</v>
      </c>
    </row>
    <row r="24" spans="1:4" ht="15.75" x14ac:dyDescent="0.25">
      <c r="A24" s="326" t="s">
        <v>58</v>
      </c>
      <c r="B24" s="332">
        <v>0</v>
      </c>
      <c r="C24" s="332">
        <v>89983.52</v>
      </c>
      <c r="D24" s="332">
        <v>89983.5</v>
      </c>
    </row>
    <row r="25" spans="1:4" ht="15.75" x14ac:dyDescent="0.25">
      <c r="A25" s="326" t="s">
        <v>55</v>
      </c>
      <c r="B25" s="332">
        <v>0</v>
      </c>
      <c r="C25" s="332">
        <v>65632.800000000003</v>
      </c>
      <c r="D25" s="332">
        <v>65632.800000000003</v>
      </c>
    </row>
    <row r="26" spans="1:4" ht="15.75" x14ac:dyDescent="0.25">
      <c r="A26" s="326" t="s">
        <v>60</v>
      </c>
      <c r="B26" s="332">
        <v>0</v>
      </c>
      <c r="C26" s="332">
        <v>35749.900800000003</v>
      </c>
      <c r="D26" s="332">
        <v>35749.9</v>
      </c>
    </row>
    <row r="27" spans="1:4" ht="15.75" x14ac:dyDescent="0.25">
      <c r="A27" s="326" t="s">
        <v>57</v>
      </c>
      <c r="B27" s="332">
        <v>8236.7999999999993</v>
      </c>
      <c r="C27" s="332">
        <v>21687.360000000001</v>
      </c>
      <c r="D27" s="332">
        <v>29924.2</v>
      </c>
    </row>
    <row r="28" spans="1:4" ht="15.75" x14ac:dyDescent="0.25">
      <c r="A28" s="326" t="s">
        <v>61</v>
      </c>
      <c r="B28" s="332">
        <v>0</v>
      </c>
      <c r="C28" s="332">
        <v>61257.280000000006</v>
      </c>
      <c r="D28" s="332">
        <v>61257.3</v>
      </c>
    </row>
    <row r="29" spans="1:4" ht="15.75" x14ac:dyDescent="0.25">
      <c r="A29" s="326" t="s">
        <v>62</v>
      </c>
      <c r="B29" s="332">
        <v>7962.24</v>
      </c>
      <c r="C29" s="332">
        <v>26443.360000000001</v>
      </c>
      <c r="D29" s="332">
        <v>34405.599999999999</v>
      </c>
    </row>
    <row r="30" spans="1:4" ht="15.75" x14ac:dyDescent="0.25">
      <c r="A30" s="326" t="s">
        <v>63</v>
      </c>
      <c r="B30" s="332">
        <v>0</v>
      </c>
      <c r="C30" s="332">
        <v>76096</v>
      </c>
      <c r="D30" s="332">
        <v>76096</v>
      </c>
    </row>
    <row r="31" spans="1:4" ht="15.75" x14ac:dyDescent="0.25">
      <c r="A31" s="326" t="s">
        <v>64</v>
      </c>
      <c r="B31" s="332">
        <v>0</v>
      </c>
      <c r="C31" s="332">
        <v>87890.880000000005</v>
      </c>
      <c r="D31" s="332">
        <v>87890.9</v>
      </c>
    </row>
    <row r="32" spans="1:4" s="81" customFormat="1" ht="24" customHeight="1" x14ac:dyDescent="0.2">
      <c r="A32" s="775" t="s">
        <v>347</v>
      </c>
      <c r="B32" s="775"/>
      <c r="C32" s="775"/>
      <c r="D32" s="775"/>
    </row>
    <row r="33" spans="1:4" ht="31.5" x14ac:dyDescent="0.25">
      <c r="A33" s="330" t="s">
        <v>344</v>
      </c>
      <c r="B33" s="331">
        <v>16.3566</v>
      </c>
      <c r="C33" s="331">
        <v>7.758</v>
      </c>
      <c r="D33" s="331"/>
    </row>
    <row r="34" spans="1:4" ht="63" x14ac:dyDescent="0.25">
      <c r="A34" s="333" t="s">
        <v>371</v>
      </c>
      <c r="B34" s="331">
        <v>19.219200000000001</v>
      </c>
      <c r="C34" s="331">
        <v>13.316800000000002</v>
      </c>
      <c r="D34" s="331"/>
    </row>
    <row r="35" spans="1:4" ht="47.25" x14ac:dyDescent="0.25">
      <c r="A35" s="333" t="s">
        <v>348</v>
      </c>
      <c r="B35" s="331"/>
      <c r="C35" s="331">
        <v>14.382144000000004</v>
      </c>
      <c r="D35" s="331"/>
    </row>
    <row r="36" spans="1:4" ht="31.5" x14ac:dyDescent="0.25">
      <c r="A36" s="334" t="s">
        <v>349</v>
      </c>
      <c r="B36" s="332">
        <v>15086.112599999999</v>
      </c>
      <c r="C36" s="332">
        <v>73331.199056000012</v>
      </c>
      <c r="D36" s="332">
        <v>88417.299999999988</v>
      </c>
    </row>
    <row r="37" spans="1:4" ht="15.75" x14ac:dyDescent="0.25">
      <c r="A37" s="333" t="s">
        <v>137</v>
      </c>
      <c r="B37" s="332"/>
      <c r="C37" s="332"/>
      <c r="D37" s="332"/>
    </row>
    <row r="38" spans="1:4" ht="15.75" x14ac:dyDescent="0.25">
      <c r="A38" s="326" t="s">
        <v>3</v>
      </c>
      <c r="B38" s="332">
        <v>13952.1798</v>
      </c>
      <c r="C38" s="332">
        <v>40799.322</v>
      </c>
      <c r="D38" s="332">
        <v>54751.5</v>
      </c>
    </row>
    <row r="39" spans="1:4" ht="15.75" x14ac:dyDescent="0.25">
      <c r="A39" s="326" t="s">
        <v>58</v>
      </c>
      <c r="B39" s="332">
        <v>0</v>
      </c>
      <c r="C39" s="332">
        <v>6298.8464000000013</v>
      </c>
      <c r="D39" s="332">
        <v>6298.8</v>
      </c>
    </row>
    <row r="40" spans="1:4" ht="15.75" x14ac:dyDescent="0.25">
      <c r="A40" s="326" t="s">
        <v>55</v>
      </c>
      <c r="B40" s="332">
        <v>0</v>
      </c>
      <c r="C40" s="332">
        <v>4594.2960000000012</v>
      </c>
      <c r="D40" s="332">
        <v>4594.3</v>
      </c>
    </row>
    <row r="41" spans="1:4" ht="15.75" x14ac:dyDescent="0.25">
      <c r="A41" s="326" t="s">
        <v>60</v>
      </c>
      <c r="B41" s="332">
        <v>0</v>
      </c>
      <c r="C41" s="332">
        <v>2502.4930560000007</v>
      </c>
      <c r="D41" s="332">
        <v>2502.5</v>
      </c>
    </row>
    <row r="42" spans="1:4" ht="15.75" x14ac:dyDescent="0.25">
      <c r="A42" s="326" t="s">
        <v>57</v>
      </c>
      <c r="B42" s="332">
        <v>576.57600000000002</v>
      </c>
      <c r="C42" s="332">
        <v>1518.1152000000002</v>
      </c>
      <c r="D42" s="332">
        <v>2094.6999999999998</v>
      </c>
    </row>
    <row r="43" spans="1:4" ht="15.75" x14ac:dyDescent="0.25">
      <c r="A43" s="326" t="s">
        <v>61</v>
      </c>
      <c r="B43" s="332">
        <v>0</v>
      </c>
      <c r="C43" s="332">
        <v>4288.0096000000012</v>
      </c>
      <c r="D43" s="332">
        <v>4288</v>
      </c>
    </row>
    <row r="44" spans="1:4" ht="15.75" x14ac:dyDescent="0.25">
      <c r="A44" s="326" t="s">
        <v>62</v>
      </c>
      <c r="B44" s="332">
        <v>557.35680000000002</v>
      </c>
      <c r="C44" s="332">
        <v>1851.0352000000003</v>
      </c>
      <c r="D44" s="332">
        <v>2408.4</v>
      </c>
    </row>
    <row r="45" spans="1:4" ht="15.75" x14ac:dyDescent="0.25">
      <c r="A45" s="326" t="s">
        <v>63</v>
      </c>
      <c r="B45" s="332">
        <v>0</v>
      </c>
      <c r="C45" s="332">
        <v>5326.7200000000012</v>
      </c>
      <c r="D45" s="332">
        <v>5326.7</v>
      </c>
    </row>
    <row r="46" spans="1:4" ht="15.75" x14ac:dyDescent="0.25">
      <c r="A46" s="326" t="s">
        <v>64</v>
      </c>
      <c r="B46" s="332">
        <v>0</v>
      </c>
      <c r="C46" s="332">
        <v>6152.3616000000011</v>
      </c>
      <c r="D46" s="332">
        <v>6152.4</v>
      </c>
    </row>
    <row r="47" spans="1:4" ht="53.25" customHeight="1" x14ac:dyDescent="0.25">
      <c r="A47" s="774" t="s">
        <v>350</v>
      </c>
      <c r="B47" s="774"/>
      <c r="C47" s="774"/>
      <c r="D47" s="774"/>
    </row>
    <row r="48" spans="1:4" ht="31.5" x14ac:dyDescent="0.25">
      <c r="A48" s="330" t="s">
        <v>344</v>
      </c>
      <c r="B48" s="335">
        <v>288.96660000000003</v>
      </c>
      <c r="C48" s="335">
        <v>137.05800000000002</v>
      </c>
      <c r="D48" s="335"/>
    </row>
    <row r="49" spans="1:6" ht="31.5" x14ac:dyDescent="0.25">
      <c r="A49" s="333" t="s">
        <v>370</v>
      </c>
      <c r="B49" s="335">
        <v>293.7792</v>
      </c>
      <c r="C49" s="335">
        <v>203.55680000000001</v>
      </c>
      <c r="D49" s="335"/>
    </row>
    <row r="50" spans="1:6" ht="47.25" x14ac:dyDescent="0.25">
      <c r="A50" s="333" t="s">
        <v>351</v>
      </c>
      <c r="B50" s="335">
        <v>0</v>
      </c>
      <c r="C50" s="335">
        <v>219.84134400000002</v>
      </c>
      <c r="D50" s="335"/>
    </row>
    <row r="51" spans="1:6" ht="15.75" x14ac:dyDescent="0.25">
      <c r="A51" s="334" t="s">
        <v>352</v>
      </c>
      <c r="B51" s="335">
        <v>263821.48259999999</v>
      </c>
      <c r="C51" s="335">
        <v>1218060.9998560003</v>
      </c>
      <c r="D51" s="336">
        <v>1481882.4999999998</v>
      </c>
    </row>
    <row r="52" spans="1:6" ht="15.75" x14ac:dyDescent="0.25">
      <c r="A52" s="333" t="s">
        <v>137</v>
      </c>
      <c r="B52" s="335"/>
      <c r="C52" s="335"/>
      <c r="D52" s="336"/>
    </row>
    <row r="53" spans="1:6" ht="15.75" x14ac:dyDescent="0.25">
      <c r="A53" s="326" t="s">
        <v>3</v>
      </c>
      <c r="B53" s="335">
        <f>246488.5098+46.7</f>
        <v>246535.20980000001</v>
      </c>
      <c r="C53" s="335">
        <f>720788.022-1.1</f>
        <v>720786.92200000002</v>
      </c>
      <c r="D53" s="336">
        <f>967276.5-1.1</f>
        <v>967275.4</v>
      </c>
    </row>
    <row r="54" spans="1:6" ht="15.75" x14ac:dyDescent="0.25">
      <c r="A54" s="326" t="s">
        <v>58</v>
      </c>
      <c r="B54" s="335">
        <v>0</v>
      </c>
      <c r="C54" s="335">
        <v>96282.366399999999</v>
      </c>
      <c r="D54" s="336">
        <v>96282.4</v>
      </c>
    </row>
    <row r="55" spans="1:6" ht="15.75" x14ac:dyDescent="0.25">
      <c r="A55" s="326" t="s">
        <v>55</v>
      </c>
      <c r="B55" s="335">
        <v>0</v>
      </c>
      <c r="C55" s="335">
        <v>70227.096000000005</v>
      </c>
      <c r="D55" s="336">
        <v>70227.100000000006</v>
      </c>
    </row>
    <row r="56" spans="1:6" ht="15.75" x14ac:dyDescent="0.25">
      <c r="A56" s="326" t="s">
        <v>60</v>
      </c>
      <c r="B56" s="335">
        <v>0</v>
      </c>
      <c r="C56" s="335">
        <v>38252.393856000002</v>
      </c>
      <c r="D56" s="336">
        <v>38252.400000000001</v>
      </c>
    </row>
    <row r="57" spans="1:6" ht="15.75" x14ac:dyDescent="0.25">
      <c r="A57" s="326" t="s">
        <v>57</v>
      </c>
      <c r="B57" s="335">
        <v>8813.3760000000002</v>
      </c>
      <c r="C57" s="335">
        <v>23205.475200000001</v>
      </c>
      <c r="D57" s="336">
        <v>32018.9</v>
      </c>
    </row>
    <row r="58" spans="1:6" ht="15.75" x14ac:dyDescent="0.25">
      <c r="A58" s="326" t="s">
        <v>61</v>
      </c>
      <c r="B58" s="335">
        <v>0</v>
      </c>
      <c r="C58" s="335">
        <v>65545.289600000004</v>
      </c>
      <c r="D58" s="336">
        <v>65545.3</v>
      </c>
    </row>
    <row r="59" spans="1:6" ht="15.75" x14ac:dyDescent="0.25">
      <c r="A59" s="326" t="s">
        <v>62</v>
      </c>
      <c r="B59" s="335">
        <v>8519.5967999999993</v>
      </c>
      <c r="C59" s="335">
        <v>28294.395199999999</v>
      </c>
      <c r="D59" s="336">
        <v>36814</v>
      </c>
    </row>
    <row r="60" spans="1:6" ht="15.75" x14ac:dyDescent="0.25">
      <c r="A60" s="326" t="s">
        <v>63</v>
      </c>
      <c r="B60" s="335">
        <v>0</v>
      </c>
      <c r="C60" s="335">
        <v>81422.720000000001</v>
      </c>
      <c r="D60" s="336">
        <v>81422.7</v>
      </c>
    </row>
    <row r="61" spans="1:6" ht="15.75" x14ac:dyDescent="0.25">
      <c r="A61" s="326" t="s">
        <v>64</v>
      </c>
      <c r="B61" s="335">
        <v>0</v>
      </c>
      <c r="C61" s="335">
        <v>94043.241600000008</v>
      </c>
      <c r="D61" s="336">
        <v>94043.199999999997</v>
      </c>
    </row>
    <row r="62" spans="1:6" ht="15.75" x14ac:dyDescent="0.25">
      <c r="A62" s="337"/>
      <c r="B62" s="338"/>
      <c r="C62" s="338"/>
      <c r="D62" s="338"/>
    </row>
    <row r="63" spans="1:6" ht="126" x14ac:dyDescent="0.2">
      <c r="A63" s="339" t="s">
        <v>1</v>
      </c>
      <c r="B63" s="340" t="s">
        <v>353</v>
      </c>
      <c r="C63" s="340" t="s">
        <v>354</v>
      </c>
      <c r="D63" s="341" t="s">
        <v>376</v>
      </c>
      <c r="E63" s="340" t="s">
        <v>377</v>
      </c>
      <c r="F63" s="340" t="s">
        <v>378</v>
      </c>
    </row>
    <row r="64" spans="1:6" ht="15.75" x14ac:dyDescent="0.25">
      <c r="A64" s="334" t="s">
        <v>352</v>
      </c>
      <c r="B64" s="342">
        <v>1481882.4999999998</v>
      </c>
      <c r="C64" s="342">
        <v>30384.748750706065</v>
      </c>
      <c r="D64" s="342">
        <f>SUM(D66:D74)</f>
        <v>1512266.2</v>
      </c>
      <c r="E64" s="342">
        <f>SUM(E66:E74)</f>
        <v>1512266.2</v>
      </c>
      <c r="F64" s="342">
        <f>SUM(F66:F74)</f>
        <v>1512266.2</v>
      </c>
    </row>
    <row r="65" spans="1:6" ht="15.75" x14ac:dyDescent="0.25">
      <c r="A65" s="333" t="s">
        <v>137</v>
      </c>
      <c r="B65" s="343"/>
      <c r="C65" s="343"/>
      <c r="D65" s="343"/>
      <c r="E65" s="343"/>
      <c r="F65" s="343"/>
    </row>
    <row r="66" spans="1:6" ht="15.75" x14ac:dyDescent="0.25">
      <c r="A66" s="326" t="s">
        <v>3</v>
      </c>
      <c r="B66" s="343">
        <f>D53</f>
        <v>967275.4</v>
      </c>
      <c r="C66" s="343">
        <v>0</v>
      </c>
      <c r="D66" s="343">
        <f>B66+C66</f>
        <v>967275.4</v>
      </c>
      <c r="E66" s="343">
        <v>967275.4</v>
      </c>
      <c r="F66" s="343">
        <v>967275.4</v>
      </c>
    </row>
    <row r="67" spans="1:6" ht="15.75" x14ac:dyDescent="0.25">
      <c r="A67" s="326" t="s">
        <v>58</v>
      </c>
      <c r="B67" s="343">
        <v>96282.4</v>
      </c>
      <c r="C67" s="343">
        <v>22245.5</v>
      </c>
      <c r="D67" s="343">
        <f t="shared" ref="D67:D74" si="0">B67+C67</f>
        <v>118527.9</v>
      </c>
      <c r="E67" s="343">
        <v>118527.9</v>
      </c>
      <c r="F67" s="343">
        <v>118527.9</v>
      </c>
    </row>
    <row r="68" spans="1:6" ht="15.75" x14ac:dyDescent="0.25">
      <c r="A68" s="326" t="s">
        <v>55</v>
      </c>
      <c r="B68" s="343">
        <v>70227.100000000006</v>
      </c>
      <c r="C68" s="343"/>
      <c r="D68" s="343">
        <f t="shared" si="0"/>
        <v>70227.100000000006</v>
      </c>
      <c r="E68" s="343">
        <v>70227.100000000006</v>
      </c>
      <c r="F68" s="343">
        <v>70227.100000000006</v>
      </c>
    </row>
    <row r="69" spans="1:6" ht="15.75" x14ac:dyDescent="0.25">
      <c r="A69" s="326" t="s">
        <v>60</v>
      </c>
      <c r="B69" s="343">
        <v>38252.400000000001</v>
      </c>
      <c r="C69" s="343">
        <v>0</v>
      </c>
      <c r="D69" s="343">
        <f t="shared" si="0"/>
        <v>38252.400000000001</v>
      </c>
      <c r="E69" s="343">
        <v>38252.400000000001</v>
      </c>
      <c r="F69" s="343">
        <v>38252.400000000001</v>
      </c>
    </row>
    <row r="70" spans="1:6" ht="15.75" x14ac:dyDescent="0.25">
      <c r="A70" s="326" t="s">
        <v>57</v>
      </c>
      <c r="B70" s="343">
        <v>32018.9</v>
      </c>
      <c r="C70" s="343">
        <v>0</v>
      </c>
      <c r="D70" s="343">
        <f t="shared" si="0"/>
        <v>32018.9</v>
      </c>
      <c r="E70" s="343">
        <v>32018.9</v>
      </c>
      <c r="F70" s="343">
        <v>32018.9</v>
      </c>
    </row>
    <row r="71" spans="1:6" ht="15.75" x14ac:dyDescent="0.25">
      <c r="A71" s="326" t="s">
        <v>61</v>
      </c>
      <c r="B71" s="343">
        <v>65545.3</v>
      </c>
      <c r="C71" s="343">
        <v>0</v>
      </c>
      <c r="D71" s="343">
        <f t="shared" si="0"/>
        <v>65545.3</v>
      </c>
      <c r="E71" s="343">
        <v>65545.3</v>
      </c>
      <c r="F71" s="343">
        <v>65545.3</v>
      </c>
    </row>
    <row r="72" spans="1:6" ht="15.75" x14ac:dyDescent="0.25">
      <c r="A72" s="326" t="s">
        <v>62</v>
      </c>
      <c r="B72" s="343">
        <v>36814</v>
      </c>
      <c r="C72" s="343">
        <v>8139.3</v>
      </c>
      <c r="D72" s="343">
        <f t="shared" si="0"/>
        <v>44953.3</v>
      </c>
      <c r="E72" s="343">
        <v>44953.3</v>
      </c>
      <c r="F72" s="343">
        <v>44953.3</v>
      </c>
    </row>
    <row r="73" spans="1:6" ht="15.75" x14ac:dyDescent="0.25">
      <c r="A73" s="326" t="s">
        <v>63</v>
      </c>
      <c r="B73" s="343">
        <v>81422.7</v>
      </c>
      <c r="C73" s="343">
        <v>0</v>
      </c>
      <c r="D73" s="343">
        <f t="shared" si="0"/>
        <v>81422.7</v>
      </c>
      <c r="E73" s="343">
        <v>81422.7</v>
      </c>
      <c r="F73" s="343">
        <v>81422.7</v>
      </c>
    </row>
    <row r="74" spans="1:6" ht="15.75" x14ac:dyDescent="0.25">
      <c r="A74" s="326" t="s">
        <v>64</v>
      </c>
      <c r="B74" s="343">
        <v>94043.199999999997</v>
      </c>
      <c r="C74" s="343">
        <v>0</v>
      </c>
      <c r="D74" s="343">
        <f t="shared" si="0"/>
        <v>94043.199999999997</v>
      </c>
      <c r="E74" s="343">
        <v>94043.199999999997</v>
      </c>
      <c r="F74" s="343">
        <v>94043.199999999997</v>
      </c>
    </row>
  </sheetData>
  <mergeCells count="6">
    <mergeCell ref="A47:D47"/>
    <mergeCell ref="A32:D32"/>
    <mergeCell ref="A17:D17"/>
    <mergeCell ref="A2:D2"/>
    <mergeCell ref="A1:D1"/>
    <mergeCell ref="A6:D6"/>
  </mergeCells>
  <printOptions horizontalCentered="1"/>
  <pageMargins left="0.74803149606299213" right="0.1574803149606299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56"/>
  <sheetViews>
    <sheetView zoomScaleNormal="100" workbookViewId="0">
      <selection activeCell="G15" sqref="G15"/>
    </sheetView>
  </sheetViews>
  <sheetFormatPr defaultRowHeight="15" x14ac:dyDescent="0.2"/>
  <cols>
    <col min="1" max="1" width="45.42578125" style="77" customWidth="1"/>
    <col min="2" max="2" width="22.140625" style="83" customWidth="1"/>
    <col min="3" max="3" width="16.140625" style="83" customWidth="1"/>
    <col min="4" max="4" width="16.28515625" style="83" customWidth="1"/>
    <col min="5" max="5" width="16.140625" style="83" customWidth="1"/>
    <col min="6" max="6" width="13.42578125" style="83" customWidth="1"/>
    <col min="7" max="7" width="14.7109375" style="83" customWidth="1"/>
    <col min="8" max="8" width="22.85546875" style="83" hidden="1" customWidth="1"/>
    <col min="9" max="9" width="14.5703125" style="83" customWidth="1"/>
    <col min="10" max="12" width="14.7109375" style="83" bestFit="1" customWidth="1"/>
    <col min="13" max="13" width="18" style="77" bestFit="1" customWidth="1"/>
    <col min="14" max="16384" width="9.140625" style="77"/>
  </cols>
  <sheetData>
    <row r="1" spans="1:12" ht="15.75" x14ac:dyDescent="0.25">
      <c r="A1" s="777" t="s">
        <v>53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47.25" customHeight="1" x14ac:dyDescent="0.2">
      <c r="A2" s="779" t="s">
        <v>366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</row>
    <row r="3" spans="1:12" ht="18.75" customHeight="1" x14ac:dyDescent="0.25">
      <c r="A3" s="302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5.75" x14ac:dyDescent="0.25">
      <c r="A4" s="780"/>
      <c r="B4" s="780"/>
      <c r="C4" s="780"/>
      <c r="D4" s="780"/>
      <c r="E4" s="780"/>
      <c r="F4" s="780"/>
      <c r="G4" s="780"/>
      <c r="H4" s="780"/>
      <c r="I4" s="780"/>
      <c r="J4" s="780"/>
      <c r="L4" s="84" t="s">
        <v>15</v>
      </c>
    </row>
    <row r="5" spans="1:12" s="357" customFormat="1" ht="105" x14ac:dyDescent="0.2">
      <c r="A5" s="282" t="s">
        <v>1</v>
      </c>
      <c r="B5" s="283" t="s">
        <v>355</v>
      </c>
      <c r="C5" s="283" t="s">
        <v>356</v>
      </c>
      <c r="D5" s="283" t="s">
        <v>357</v>
      </c>
      <c r="E5" s="283" t="s">
        <v>358</v>
      </c>
      <c r="F5" s="283" t="s">
        <v>359</v>
      </c>
      <c r="G5" s="283" t="s">
        <v>360</v>
      </c>
      <c r="H5" s="283" t="s">
        <v>361</v>
      </c>
      <c r="I5" s="283" t="s">
        <v>368</v>
      </c>
      <c r="J5" s="283" t="s">
        <v>367</v>
      </c>
      <c r="K5" s="283" t="s">
        <v>379</v>
      </c>
      <c r="L5" s="283" t="s">
        <v>380</v>
      </c>
    </row>
    <row r="6" spans="1:12" s="83" customFormat="1" x14ac:dyDescent="0.2">
      <c r="A6" s="768" t="s">
        <v>362</v>
      </c>
      <c r="B6" s="769"/>
      <c r="C6" s="769"/>
      <c r="D6" s="769"/>
      <c r="E6" s="769"/>
      <c r="F6" s="769"/>
      <c r="G6" s="769"/>
      <c r="H6" s="769"/>
      <c r="I6" s="769"/>
      <c r="J6" s="770"/>
    </row>
    <row r="7" spans="1:12" s="83" customFormat="1" ht="15.75" x14ac:dyDescent="0.25">
      <c r="A7" s="284" t="s">
        <v>3</v>
      </c>
      <c r="B7" s="285">
        <v>2877</v>
      </c>
      <c r="C7" s="285">
        <v>363</v>
      </c>
      <c r="D7" s="285">
        <v>108</v>
      </c>
      <c r="E7" s="285">
        <v>7110</v>
      </c>
      <c r="F7" s="285">
        <v>552</v>
      </c>
      <c r="G7" s="285"/>
      <c r="H7" s="285"/>
      <c r="I7" s="285"/>
      <c r="J7" s="285">
        <v>11010</v>
      </c>
      <c r="K7" s="285">
        <v>11010</v>
      </c>
      <c r="L7" s="285">
        <v>11010</v>
      </c>
    </row>
    <row r="8" spans="1:12" s="83" customFormat="1" ht="15.75" x14ac:dyDescent="0.25">
      <c r="A8" s="284" t="s">
        <v>58</v>
      </c>
      <c r="B8" s="285">
        <v>815</v>
      </c>
      <c r="C8" s="285"/>
      <c r="D8" s="285"/>
      <c r="E8" s="285"/>
      <c r="F8" s="285"/>
      <c r="G8" s="285"/>
      <c r="H8" s="285"/>
      <c r="I8" s="285">
        <v>285</v>
      </c>
      <c r="J8" s="285">
        <v>1100</v>
      </c>
      <c r="K8" s="285">
        <v>1100</v>
      </c>
      <c r="L8" s="285">
        <v>1100</v>
      </c>
    </row>
    <row r="9" spans="1:12" s="83" customFormat="1" ht="15.75" x14ac:dyDescent="0.25">
      <c r="A9" s="284" t="s">
        <v>55</v>
      </c>
      <c r="B9" s="285">
        <v>484</v>
      </c>
      <c r="C9" s="285"/>
      <c r="D9" s="285"/>
      <c r="E9" s="285"/>
      <c r="F9" s="285"/>
      <c r="G9" s="285"/>
      <c r="H9" s="285"/>
      <c r="I9" s="285">
        <v>134</v>
      </c>
      <c r="J9" s="285">
        <v>618</v>
      </c>
      <c r="K9" s="285">
        <v>618</v>
      </c>
      <c r="L9" s="285">
        <v>618</v>
      </c>
    </row>
    <row r="10" spans="1:12" s="83" customFormat="1" ht="15.75" x14ac:dyDescent="0.25">
      <c r="A10" s="284" t="s">
        <v>60</v>
      </c>
      <c r="B10" s="285"/>
      <c r="C10" s="285"/>
      <c r="D10" s="285"/>
      <c r="E10" s="285"/>
      <c r="F10" s="285"/>
      <c r="G10" s="285">
        <v>302</v>
      </c>
      <c r="H10" s="285"/>
      <c r="I10" s="285">
        <v>29</v>
      </c>
      <c r="J10" s="285">
        <v>331</v>
      </c>
      <c r="K10" s="285">
        <v>331</v>
      </c>
      <c r="L10" s="285">
        <v>331</v>
      </c>
    </row>
    <row r="11" spans="1:12" s="83" customFormat="1" ht="15.75" x14ac:dyDescent="0.25">
      <c r="A11" s="284" t="s">
        <v>57</v>
      </c>
      <c r="B11" s="285">
        <v>228</v>
      </c>
      <c r="C11" s="285"/>
      <c r="D11" s="285"/>
      <c r="E11" s="285"/>
      <c r="F11" s="285"/>
      <c r="G11" s="285"/>
      <c r="H11" s="285"/>
      <c r="I11" s="285">
        <v>27</v>
      </c>
      <c r="J11" s="285">
        <v>255</v>
      </c>
      <c r="K11" s="285">
        <v>255</v>
      </c>
      <c r="L11" s="285">
        <v>255</v>
      </c>
    </row>
    <row r="12" spans="1:12" s="83" customFormat="1" ht="15.75" x14ac:dyDescent="0.25">
      <c r="A12" s="284" t="s">
        <v>61</v>
      </c>
      <c r="B12" s="285">
        <v>658</v>
      </c>
      <c r="C12" s="285"/>
      <c r="D12" s="285"/>
      <c r="E12" s="285">
        <v>65</v>
      </c>
      <c r="F12" s="285"/>
      <c r="G12" s="285"/>
      <c r="H12" s="285"/>
      <c r="I12" s="285">
        <v>57</v>
      </c>
      <c r="J12" s="285">
        <v>780</v>
      </c>
      <c r="K12" s="285">
        <v>780</v>
      </c>
      <c r="L12" s="285">
        <v>780</v>
      </c>
    </row>
    <row r="13" spans="1:12" s="83" customFormat="1" ht="15.75" x14ac:dyDescent="0.25">
      <c r="A13" s="284" t="s">
        <v>62</v>
      </c>
      <c r="B13" s="285">
        <v>364</v>
      </c>
      <c r="C13" s="285"/>
      <c r="D13" s="285"/>
      <c r="E13" s="285"/>
      <c r="F13" s="285"/>
      <c r="G13" s="285"/>
      <c r="H13" s="285"/>
      <c r="I13" s="285">
        <v>77</v>
      </c>
      <c r="J13" s="285">
        <v>441</v>
      </c>
      <c r="K13" s="285">
        <v>441</v>
      </c>
      <c r="L13" s="285">
        <v>441</v>
      </c>
    </row>
    <row r="14" spans="1:12" s="83" customFormat="1" ht="15.75" x14ac:dyDescent="0.25">
      <c r="A14" s="284" t="s">
        <v>63</v>
      </c>
      <c r="B14" s="285">
        <v>773</v>
      </c>
      <c r="C14" s="285"/>
      <c r="D14" s="285"/>
      <c r="E14" s="285"/>
      <c r="F14" s="285"/>
      <c r="G14" s="285"/>
      <c r="H14" s="285"/>
      <c r="I14" s="285">
        <v>37</v>
      </c>
      <c r="J14" s="285">
        <v>810</v>
      </c>
      <c r="K14" s="285">
        <v>810</v>
      </c>
      <c r="L14" s="285">
        <v>810</v>
      </c>
    </row>
    <row r="15" spans="1:12" s="205" customFormat="1" ht="15.75" x14ac:dyDescent="0.25">
      <c r="A15" s="284" t="s">
        <v>64</v>
      </c>
      <c r="B15" s="285">
        <v>908</v>
      </c>
      <c r="C15" s="285"/>
      <c r="D15" s="285"/>
      <c r="E15" s="285"/>
      <c r="F15" s="285"/>
      <c r="G15" s="285"/>
      <c r="H15" s="285"/>
      <c r="I15" s="285">
        <v>68</v>
      </c>
      <c r="J15" s="285">
        <v>976</v>
      </c>
      <c r="K15" s="285">
        <v>976</v>
      </c>
      <c r="L15" s="285">
        <v>976</v>
      </c>
    </row>
    <row r="16" spans="1:12" x14ac:dyDescent="0.2">
      <c r="A16" s="286" t="s">
        <v>4</v>
      </c>
      <c r="B16" s="348">
        <v>7107</v>
      </c>
      <c r="C16" s="348">
        <v>363</v>
      </c>
      <c r="D16" s="348">
        <v>108</v>
      </c>
      <c r="E16" s="348">
        <v>7175</v>
      </c>
      <c r="F16" s="348">
        <v>552</v>
      </c>
      <c r="G16" s="348">
        <v>302</v>
      </c>
      <c r="H16" s="348">
        <v>0</v>
      </c>
      <c r="I16" s="348">
        <v>714</v>
      </c>
      <c r="J16" s="348">
        <v>16321</v>
      </c>
      <c r="K16" s="348">
        <v>16321</v>
      </c>
      <c r="L16" s="348">
        <v>16321</v>
      </c>
    </row>
    <row r="17" spans="1:12" x14ac:dyDescent="0.2">
      <c r="A17" s="771" t="s">
        <v>343</v>
      </c>
      <c r="B17" s="772"/>
      <c r="C17" s="772"/>
      <c r="D17" s="772"/>
      <c r="E17" s="772"/>
      <c r="F17" s="772"/>
      <c r="G17" s="772"/>
      <c r="H17" s="772"/>
      <c r="I17" s="772"/>
      <c r="J17" s="773"/>
    </row>
    <row r="18" spans="1:12" ht="30" x14ac:dyDescent="0.25">
      <c r="A18" s="284" t="s">
        <v>363</v>
      </c>
      <c r="B18" s="349">
        <v>101.4922745383839</v>
      </c>
      <c r="C18" s="349">
        <v>77.091246487281722</v>
      </c>
      <c r="D18" s="350">
        <v>435.67595219668988</v>
      </c>
      <c r="E18" s="349">
        <v>102.69993056837352</v>
      </c>
      <c r="F18" s="349">
        <v>114.67094093181259</v>
      </c>
      <c r="G18" s="285"/>
      <c r="H18" s="285"/>
      <c r="I18" s="285"/>
      <c r="J18" s="285"/>
      <c r="K18" s="285"/>
      <c r="L18" s="285"/>
    </row>
    <row r="19" spans="1:12" ht="30" x14ac:dyDescent="0.25">
      <c r="A19" s="284" t="s">
        <v>364</v>
      </c>
      <c r="B19" s="349">
        <v>128.94008035363069</v>
      </c>
      <c r="C19" s="285"/>
      <c r="D19" s="285"/>
      <c r="E19" s="349">
        <v>183.52796499491157</v>
      </c>
      <c r="F19" s="285"/>
      <c r="G19" s="349">
        <v>184.31144226591832</v>
      </c>
      <c r="H19" s="285"/>
      <c r="I19" s="351"/>
      <c r="J19" s="285"/>
      <c r="K19" s="285"/>
      <c r="L19" s="285"/>
    </row>
    <row r="20" spans="1:12" ht="15.75" x14ac:dyDescent="0.25">
      <c r="A20" s="281" t="s">
        <v>346</v>
      </c>
      <c r="B20" s="352">
        <v>837409.81374278839</v>
      </c>
      <c r="C20" s="352">
        <v>27984.122474883265</v>
      </c>
      <c r="D20" s="352">
        <v>47053.002837242508</v>
      </c>
      <c r="E20" s="352">
        <f>742125.824065805-25321.92</f>
        <v>716803.90406580491</v>
      </c>
      <c r="F20" s="352">
        <v>63298.359394360552</v>
      </c>
      <c r="G20" s="352">
        <v>60115.020009451924</v>
      </c>
      <c r="H20" s="352">
        <v>0</v>
      </c>
      <c r="I20" s="352">
        <v>282591.68409208499</v>
      </c>
      <c r="J20" s="352">
        <f>2060577.82661662-25321.92</f>
        <v>2035255.90661662</v>
      </c>
      <c r="K20" s="352">
        <v>2060577.8266166165</v>
      </c>
      <c r="L20" s="352">
        <v>2060577.8266166165</v>
      </c>
    </row>
    <row r="21" spans="1:12" ht="15.75" x14ac:dyDescent="0.25">
      <c r="A21" s="281" t="s">
        <v>137</v>
      </c>
      <c r="B21" s="353"/>
      <c r="C21" s="353"/>
      <c r="D21" s="353"/>
      <c r="E21" s="353"/>
      <c r="F21" s="353"/>
      <c r="G21" s="353"/>
      <c r="H21" s="353"/>
      <c r="I21" s="353"/>
      <c r="J21" s="354"/>
      <c r="K21" s="354"/>
      <c r="L21" s="354"/>
    </row>
    <row r="22" spans="1:12" ht="15.75" x14ac:dyDescent="0.25">
      <c r="A22" s="281" t="s">
        <v>3</v>
      </c>
      <c r="B22" s="354">
        <v>291993.27384693047</v>
      </c>
      <c r="C22" s="354">
        <v>27984.122474883265</v>
      </c>
      <c r="D22" s="354">
        <v>47053.002837242508</v>
      </c>
      <c r="E22" s="354">
        <f>730196.506341136-25321.92</f>
        <v>704874.5863411359</v>
      </c>
      <c r="F22" s="354">
        <v>63298.359394360552</v>
      </c>
      <c r="G22" s="354">
        <v>0</v>
      </c>
      <c r="H22" s="354">
        <v>0</v>
      </c>
      <c r="I22" s="354"/>
      <c r="J22" s="354">
        <f>1160525.26489455-25321.92</f>
        <v>1135203.34489455</v>
      </c>
      <c r="K22" s="354">
        <v>1160525.2648945525</v>
      </c>
      <c r="L22" s="354">
        <v>1160525.2648945525</v>
      </c>
    </row>
    <row r="23" spans="1:12" ht="15.75" x14ac:dyDescent="0.25">
      <c r="A23" s="281" t="s">
        <v>58</v>
      </c>
      <c r="B23" s="354">
        <v>105086.16548820901</v>
      </c>
      <c r="C23" s="354">
        <v>0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125879.51795000001</v>
      </c>
      <c r="J23" s="354">
        <v>230965.683438209</v>
      </c>
      <c r="K23" s="354">
        <v>230965.683438209</v>
      </c>
      <c r="L23" s="354">
        <v>230965.683438209</v>
      </c>
    </row>
    <row r="24" spans="1:12" ht="15.75" x14ac:dyDescent="0.25">
      <c r="A24" s="281" t="s">
        <v>55</v>
      </c>
      <c r="B24" s="354">
        <v>62406.998891157251</v>
      </c>
      <c r="C24" s="354">
        <v>0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27983.995973500001</v>
      </c>
      <c r="J24" s="354">
        <v>90390.994864657259</v>
      </c>
      <c r="K24" s="354">
        <v>90390.994864657259</v>
      </c>
      <c r="L24" s="354">
        <v>90390.994864657259</v>
      </c>
    </row>
    <row r="25" spans="1:12" ht="15.75" x14ac:dyDescent="0.25">
      <c r="A25" s="281" t="s">
        <v>60</v>
      </c>
      <c r="B25" s="354">
        <v>0</v>
      </c>
      <c r="C25" s="354">
        <v>0</v>
      </c>
      <c r="D25" s="354">
        <v>0</v>
      </c>
      <c r="E25" s="354">
        <v>0</v>
      </c>
      <c r="F25" s="354">
        <v>0</v>
      </c>
      <c r="G25" s="354">
        <v>60115.020009451924</v>
      </c>
      <c r="H25" s="354">
        <v>0</v>
      </c>
      <c r="I25" s="354">
        <v>31374.6358272</v>
      </c>
      <c r="J25" s="354">
        <v>91489.655836651917</v>
      </c>
      <c r="K25" s="354">
        <v>91489.655836651917</v>
      </c>
      <c r="L25" s="354">
        <v>91489.655836651917</v>
      </c>
    </row>
    <row r="26" spans="1:12" ht="15.75" x14ac:dyDescent="0.25">
      <c r="A26" s="281" t="s">
        <v>57</v>
      </c>
      <c r="B26" s="354">
        <v>29398.338320627798</v>
      </c>
      <c r="C26" s="354">
        <v>0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>
        <v>16486.684073585002</v>
      </c>
      <c r="J26" s="354">
        <v>45885.0223942128</v>
      </c>
      <c r="K26" s="354">
        <v>45885.0223942128</v>
      </c>
      <c r="L26" s="354">
        <v>45885.0223942128</v>
      </c>
    </row>
    <row r="27" spans="1:12" ht="15.75" x14ac:dyDescent="0.25">
      <c r="A27" s="281" t="s">
        <v>61</v>
      </c>
      <c r="B27" s="354">
        <v>84842.572872688994</v>
      </c>
      <c r="C27" s="354">
        <v>0</v>
      </c>
      <c r="D27" s="354">
        <v>0</v>
      </c>
      <c r="E27" s="354">
        <v>11929.317724669252</v>
      </c>
      <c r="F27" s="354">
        <v>0</v>
      </c>
      <c r="G27" s="354">
        <v>0</v>
      </c>
      <c r="H27" s="354">
        <v>0</v>
      </c>
      <c r="I27" s="354">
        <v>15799.646720000001</v>
      </c>
      <c r="J27" s="354">
        <v>112571.53731735825</v>
      </c>
      <c r="K27" s="354">
        <v>112571.53731735825</v>
      </c>
      <c r="L27" s="354">
        <v>112571.53731735825</v>
      </c>
    </row>
    <row r="28" spans="1:12" ht="15.75" x14ac:dyDescent="0.25">
      <c r="A28" s="281" t="s">
        <v>62</v>
      </c>
      <c r="B28" s="354">
        <v>46934.189248721574</v>
      </c>
      <c r="C28" s="354">
        <v>0</v>
      </c>
      <c r="D28" s="354">
        <v>0</v>
      </c>
      <c r="E28" s="354">
        <v>0</v>
      </c>
      <c r="F28" s="354">
        <v>0</v>
      </c>
      <c r="G28" s="354">
        <v>0</v>
      </c>
      <c r="H28" s="354">
        <v>0</v>
      </c>
      <c r="I28" s="354">
        <v>21617.407999999999</v>
      </c>
      <c r="J28" s="354">
        <v>68551.597248721577</v>
      </c>
      <c r="K28" s="354">
        <v>68551.597248721577</v>
      </c>
      <c r="L28" s="354">
        <v>68551.597248721577</v>
      </c>
    </row>
    <row r="29" spans="1:12" ht="15.75" x14ac:dyDescent="0.25">
      <c r="A29" s="281" t="s">
        <v>63</v>
      </c>
      <c r="B29" s="354">
        <v>99670.682113356524</v>
      </c>
      <c r="C29" s="354">
        <v>0</v>
      </c>
      <c r="D29" s="354">
        <v>0</v>
      </c>
      <c r="E29" s="354">
        <v>0</v>
      </c>
      <c r="F29" s="354">
        <v>0</v>
      </c>
      <c r="G29" s="354">
        <v>0</v>
      </c>
      <c r="H29" s="354">
        <v>0</v>
      </c>
      <c r="I29" s="354">
        <v>16794.713088</v>
      </c>
      <c r="J29" s="354">
        <v>116465.39520135653</v>
      </c>
      <c r="K29" s="354">
        <v>116465.39520135653</v>
      </c>
      <c r="L29" s="354">
        <v>116465.39520135653</v>
      </c>
    </row>
    <row r="30" spans="1:12" ht="15.75" x14ac:dyDescent="0.25">
      <c r="A30" s="281" t="s">
        <v>64</v>
      </c>
      <c r="B30" s="354">
        <v>117077.59296109667</v>
      </c>
      <c r="C30" s="354">
        <v>0</v>
      </c>
      <c r="D30" s="354">
        <v>0</v>
      </c>
      <c r="E30" s="354">
        <v>0</v>
      </c>
      <c r="F30" s="354">
        <v>0</v>
      </c>
      <c r="G30" s="354">
        <v>0</v>
      </c>
      <c r="H30" s="354">
        <v>0</v>
      </c>
      <c r="I30" s="354">
        <v>26655.082459800004</v>
      </c>
      <c r="J30" s="354">
        <v>143732.67542089667</v>
      </c>
      <c r="K30" s="354">
        <v>143732.67542089667</v>
      </c>
      <c r="L30" s="354">
        <v>143732.67542089667</v>
      </c>
    </row>
    <row r="31" spans="1:12" x14ac:dyDescent="0.2">
      <c r="A31" s="771" t="s">
        <v>347</v>
      </c>
      <c r="B31" s="772"/>
      <c r="C31" s="772"/>
      <c r="D31" s="772"/>
      <c r="E31" s="772"/>
      <c r="F31" s="772"/>
      <c r="G31" s="772"/>
      <c r="H31" s="772"/>
      <c r="I31" s="772"/>
      <c r="J31" s="773"/>
    </row>
    <row r="32" spans="1:12" ht="30" x14ac:dyDescent="0.25">
      <c r="A32" s="284" t="s">
        <v>363</v>
      </c>
      <c r="B32" s="349">
        <v>2.8417836870747486</v>
      </c>
      <c r="C32" s="349">
        <v>2.1585549016438881</v>
      </c>
      <c r="D32" s="349">
        <v>12.198926661507315</v>
      </c>
      <c r="E32" s="349">
        <v>2.8755980559144581</v>
      </c>
      <c r="F32" s="349">
        <v>3.2107863460907522</v>
      </c>
      <c r="G32" s="349">
        <v>0</v>
      </c>
      <c r="H32" s="350">
        <v>0</v>
      </c>
      <c r="I32" s="350" t="s">
        <v>220</v>
      </c>
      <c r="J32" s="285"/>
      <c r="K32" s="285"/>
      <c r="L32" s="285"/>
    </row>
    <row r="33" spans="1:13" ht="30" x14ac:dyDescent="0.25">
      <c r="A33" s="284" t="s">
        <v>364</v>
      </c>
      <c r="B33" s="349">
        <v>3.610322249901659</v>
      </c>
      <c r="C33" s="349">
        <v>0</v>
      </c>
      <c r="D33" s="349">
        <v>0</v>
      </c>
      <c r="E33" s="349">
        <v>5.1387830198575237</v>
      </c>
      <c r="F33" s="349">
        <v>0</v>
      </c>
      <c r="G33" s="349">
        <v>5.160720383445712</v>
      </c>
      <c r="H33" s="350">
        <v>0</v>
      </c>
      <c r="I33" s="350" t="s">
        <v>220</v>
      </c>
      <c r="J33" s="285"/>
      <c r="K33" s="285"/>
      <c r="L33" s="285"/>
    </row>
    <row r="34" spans="1:13" ht="30" x14ac:dyDescent="0.25">
      <c r="A34" s="284" t="s">
        <v>349</v>
      </c>
      <c r="B34" s="354">
        <v>23447.474784798065</v>
      </c>
      <c r="C34" s="354">
        <v>783.5554292967314</v>
      </c>
      <c r="D34" s="354">
        <v>1317.4840794427901</v>
      </c>
      <c r="E34" s="354">
        <v>20779.523073842534</v>
      </c>
      <c r="F34" s="354">
        <v>1772.3540630420953</v>
      </c>
      <c r="G34" s="354">
        <v>1558.5375558006051</v>
      </c>
      <c r="H34" s="354">
        <v>0</v>
      </c>
      <c r="I34" s="352">
        <v>7912.5671545783798</v>
      </c>
      <c r="J34" s="354">
        <v>57571.496140801195</v>
      </c>
      <c r="K34" s="354">
        <v>57571.496140801195</v>
      </c>
      <c r="L34" s="354">
        <v>57571.496140801195</v>
      </c>
      <c r="M34" s="347"/>
    </row>
    <row r="35" spans="1:13" ht="15.75" x14ac:dyDescent="0.25">
      <c r="A35" s="281" t="s">
        <v>137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</row>
    <row r="36" spans="1:13" ht="15.75" x14ac:dyDescent="0.25">
      <c r="A36" s="281" t="s">
        <v>3</v>
      </c>
      <c r="B36" s="355">
        <v>8175.8116677140515</v>
      </c>
      <c r="C36" s="355">
        <v>783.5554292967314</v>
      </c>
      <c r="D36" s="355">
        <v>1317.4840794427901</v>
      </c>
      <c r="E36" s="355">
        <v>20445.502177551796</v>
      </c>
      <c r="F36" s="355">
        <v>1772.3540630420953</v>
      </c>
      <c r="G36" s="355">
        <v>0</v>
      </c>
      <c r="H36" s="355">
        <v>0</v>
      </c>
      <c r="I36" s="355">
        <v>0</v>
      </c>
      <c r="J36" s="354">
        <v>32494.707417047463</v>
      </c>
      <c r="K36" s="354">
        <v>32494.707417047463</v>
      </c>
      <c r="L36" s="354">
        <v>32494.707417047463</v>
      </c>
    </row>
    <row r="37" spans="1:13" ht="15.75" x14ac:dyDescent="0.25">
      <c r="A37" s="281" t="s">
        <v>58</v>
      </c>
      <c r="B37" s="355">
        <v>2942.4126336698519</v>
      </c>
      <c r="C37" s="355">
        <v>0</v>
      </c>
      <c r="D37" s="355">
        <v>0</v>
      </c>
      <c r="E37" s="355">
        <v>0</v>
      </c>
      <c r="F37" s="355">
        <v>0</v>
      </c>
      <c r="G37" s="355">
        <v>0</v>
      </c>
      <c r="H37" s="355">
        <v>0</v>
      </c>
      <c r="I37" s="355">
        <v>3524.6265026000001</v>
      </c>
      <c r="J37" s="354">
        <v>6467.039136269852</v>
      </c>
      <c r="K37" s="354">
        <v>6467.039136269852</v>
      </c>
      <c r="L37" s="354">
        <v>6467.039136269852</v>
      </c>
    </row>
    <row r="38" spans="1:13" ht="15.75" x14ac:dyDescent="0.25">
      <c r="A38" s="281" t="s">
        <v>55</v>
      </c>
      <c r="B38" s="355">
        <v>1747.3959689524029</v>
      </c>
      <c r="C38" s="355">
        <v>0</v>
      </c>
      <c r="D38" s="355">
        <v>0</v>
      </c>
      <c r="E38" s="355">
        <v>0</v>
      </c>
      <c r="F38" s="355">
        <v>0</v>
      </c>
      <c r="G38" s="355">
        <v>0</v>
      </c>
      <c r="H38" s="355">
        <v>0</v>
      </c>
      <c r="I38" s="355">
        <v>783.55188725799997</v>
      </c>
      <c r="J38" s="354">
        <v>2530.9478562104027</v>
      </c>
      <c r="K38" s="354">
        <v>2530.9478562104027</v>
      </c>
      <c r="L38" s="354">
        <v>2530.9478562104027</v>
      </c>
    </row>
    <row r="39" spans="1:13" ht="15.75" x14ac:dyDescent="0.25">
      <c r="A39" s="281" t="s">
        <v>60</v>
      </c>
      <c r="B39" s="355">
        <v>0</v>
      </c>
      <c r="C39" s="355">
        <v>0</v>
      </c>
      <c r="D39" s="355">
        <v>0</v>
      </c>
      <c r="E39" s="355">
        <v>0</v>
      </c>
      <c r="F39" s="355">
        <v>0</v>
      </c>
      <c r="G39" s="355">
        <v>1558.5375558006051</v>
      </c>
      <c r="H39" s="355"/>
      <c r="I39" s="355">
        <v>878.48980316159987</v>
      </c>
      <c r="J39" s="354">
        <v>2437.0273589622047</v>
      </c>
      <c r="K39" s="354">
        <v>2437.0273589622047</v>
      </c>
      <c r="L39" s="354">
        <v>2437.0273589622047</v>
      </c>
    </row>
    <row r="40" spans="1:13" ht="15.75" x14ac:dyDescent="0.25">
      <c r="A40" s="281" t="s">
        <v>57</v>
      </c>
      <c r="B40" s="355">
        <v>823.15347297757819</v>
      </c>
      <c r="C40" s="355">
        <v>0</v>
      </c>
      <c r="D40" s="355">
        <v>0</v>
      </c>
      <c r="E40" s="355">
        <v>0</v>
      </c>
      <c r="F40" s="355">
        <v>0</v>
      </c>
      <c r="G40" s="355">
        <v>0</v>
      </c>
      <c r="H40" s="355"/>
      <c r="I40" s="355">
        <v>461.62715406038001</v>
      </c>
      <c r="J40" s="354">
        <v>1284.7806270379583</v>
      </c>
      <c r="K40" s="354">
        <v>1284.7806270379583</v>
      </c>
      <c r="L40" s="354">
        <v>1284.7806270379583</v>
      </c>
    </row>
    <row r="41" spans="1:13" ht="15.75" x14ac:dyDescent="0.25">
      <c r="A41" s="281" t="s">
        <v>61</v>
      </c>
      <c r="B41" s="355">
        <v>2375.5920404352914</v>
      </c>
      <c r="C41" s="355">
        <v>0</v>
      </c>
      <c r="D41" s="355">
        <v>0</v>
      </c>
      <c r="E41" s="355">
        <v>334.02089629073902</v>
      </c>
      <c r="F41" s="355">
        <v>0</v>
      </c>
      <c r="G41" s="355">
        <v>0</v>
      </c>
      <c r="H41" s="355"/>
      <c r="I41" s="355">
        <v>442.39010815999995</v>
      </c>
      <c r="J41" s="354">
        <v>3152.0030448860307</v>
      </c>
      <c r="K41" s="354">
        <v>3152.0030448860307</v>
      </c>
      <c r="L41" s="354">
        <v>3152.0030448860307</v>
      </c>
    </row>
    <row r="42" spans="1:13" ht="15.75" x14ac:dyDescent="0.25">
      <c r="A42" s="281" t="s">
        <v>62</v>
      </c>
      <c r="B42" s="355">
        <v>1314.1572989642038</v>
      </c>
      <c r="C42" s="355">
        <v>0</v>
      </c>
      <c r="D42" s="355">
        <v>0</v>
      </c>
      <c r="E42" s="355">
        <v>0</v>
      </c>
      <c r="F42" s="355">
        <v>0</v>
      </c>
      <c r="G42" s="355">
        <v>0</v>
      </c>
      <c r="H42" s="355"/>
      <c r="I42" s="355">
        <v>605.28742399999987</v>
      </c>
      <c r="J42" s="354">
        <v>1919.4447229642037</v>
      </c>
      <c r="K42" s="354">
        <v>1919.4447229642037</v>
      </c>
      <c r="L42" s="354">
        <v>1919.4447229642037</v>
      </c>
    </row>
    <row r="43" spans="1:13" ht="15.75" x14ac:dyDescent="0.25">
      <c r="A43" s="281" t="s">
        <v>63</v>
      </c>
      <c r="B43" s="355">
        <v>2790.7790991739826</v>
      </c>
      <c r="C43" s="355">
        <v>0</v>
      </c>
      <c r="D43" s="355">
        <v>0</v>
      </c>
      <c r="E43" s="355">
        <v>0</v>
      </c>
      <c r="F43" s="355">
        <v>0</v>
      </c>
      <c r="G43" s="355">
        <v>0</v>
      </c>
      <c r="H43" s="355"/>
      <c r="I43" s="355">
        <v>470.25196646399996</v>
      </c>
      <c r="J43" s="354">
        <v>3261.0310656379825</v>
      </c>
      <c r="K43" s="354">
        <v>3261.0310656379825</v>
      </c>
      <c r="L43" s="354">
        <v>3261.0310656379825</v>
      </c>
    </row>
    <row r="44" spans="1:13" ht="15.75" x14ac:dyDescent="0.25">
      <c r="A44" s="281" t="s">
        <v>64</v>
      </c>
      <c r="B44" s="355">
        <v>3278.1726029107062</v>
      </c>
      <c r="C44" s="355">
        <v>0</v>
      </c>
      <c r="D44" s="355">
        <v>0</v>
      </c>
      <c r="E44" s="355">
        <v>0</v>
      </c>
      <c r="F44" s="355">
        <v>0</v>
      </c>
      <c r="G44" s="355">
        <v>0</v>
      </c>
      <c r="H44" s="355"/>
      <c r="I44" s="355">
        <v>746.34230887440003</v>
      </c>
      <c r="J44" s="354">
        <v>4024.5149117851061</v>
      </c>
      <c r="K44" s="354">
        <v>4024.5149117851061</v>
      </c>
      <c r="L44" s="354">
        <v>4024.5149117851061</v>
      </c>
    </row>
    <row r="45" spans="1:13" x14ac:dyDescent="0.2">
      <c r="A45" s="763" t="s">
        <v>365</v>
      </c>
      <c r="B45" s="764"/>
      <c r="C45" s="764"/>
      <c r="D45" s="764"/>
      <c r="E45" s="764"/>
      <c r="F45" s="764"/>
      <c r="G45" s="764"/>
      <c r="H45" s="764"/>
      <c r="I45" s="764"/>
      <c r="J45" s="765"/>
    </row>
    <row r="46" spans="1:13" ht="15.75" x14ac:dyDescent="0.25">
      <c r="A46" s="281" t="s">
        <v>352</v>
      </c>
      <c r="B46" s="352">
        <v>860857.28852758638</v>
      </c>
      <c r="C46" s="352">
        <v>28767.677904179996</v>
      </c>
      <c r="D46" s="352">
        <v>48370.486916685295</v>
      </c>
      <c r="E46" s="352">
        <f>762905.347139647-25321.92</f>
        <v>737583.42713964696</v>
      </c>
      <c r="F46" s="352">
        <v>65070.71345740265</v>
      </c>
      <c r="G46" s="352">
        <v>61673.557565252529</v>
      </c>
      <c r="H46" s="352">
        <v>0</v>
      </c>
      <c r="I46" s="352">
        <v>290504.25124666339</v>
      </c>
      <c r="J46" s="352">
        <f>SUM(J47:J56)</f>
        <v>2092827.3999999997</v>
      </c>
      <c r="K46" s="352">
        <f>SUM(K47:K56)</f>
        <v>2092827.3999999997</v>
      </c>
      <c r="L46" s="352">
        <f>SUM(L47:L56)</f>
        <v>2092827.3999999997</v>
      </c>
    </row>
    <row r="47" spans="1:13" ht="15.75" x14ac:dyDescent="0.25">
      <c r="A47" s="281" t="s">
        <v>137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</row>
    <row r="48" spans="1:13" ht="15.75" x14ac:dyDescent="0.25">
      <c r="A48" s="281" t="s">
        <v>3</v>
      </c>
      <c r="B48" s="354">
        <v>300169.08551464451</v>
      </c>
      <c r="C48" s="354">
        <v>28767.677904179996</v>
      </c>
      <c r="D48" s="354">
        <v>48370.486916685295</v>
      </c>
      <c r="E48" s="354">
        <f>750642.008518687-25321.92</f>
        <v>725320.08851868694</v>
      </c>
      <c r="F48" s="354">
        <v>65070.71345740265</v>
      </c>
      <c r="G48" s="354">
        <v>0</v>
      </c>
      <c r="H48" s="354">
        <v>0</v>
      </c>
      <c r="I48" s="354">
        <v>0</v>
      </c>
      <c r="J48" s="354">
        <v>1167698.2</v>
      </c>
      <c r="K48" s="354">
        <v>1167698.2</v>
      </c>
      <c r="L48" s="354">
        <v>1167698.2</v>
      </c>
    </row>
    <row r="49" spans="1:12" ht="15.75" x14ac:dyDescent="0.25">
      <c r="A49" s="281" t="s">
        <v>58</v>
      </c>
      <c r="B49" s="354">
        <v>108028.57812187886</v>
      </c>
      <c r="C49" s="354">
        <v>0</v>
      </c>
      <c r="D49" s="354">
        <v>0</v>
      </c>
      <c r="E49" s="354">
        <v>0</v>
      </c>
      <c r="F49" s="354">
        <v>0</v>
      </c>
      <c r="G49" s="354">
        <v>0</v>
      </c>
      <c r="H49" s="354">
        <v>0</v>
      </c>
      <c r="I49" s="356">
        <v>129404.14445260001</v>
      </c>
      <c r="J49" s="354">
        <v>237432.7</v>
      </c>
      <c r="K49" s="354">
        <v>237432.7</v>
      </c>
      <c r="L49" s="354">
        <v>237432.7</v>
      </c>
    </row>
    <row r="50" spans="1:12" ht="15.75" x14ac:dyDescent="0.25">
      <c r="A50" s="281" t="s">
        <v>55</v>
      </c>
      <c r="B50" s="354">
        <v>64154.394860109656</v>
      </c>
      <c r="C50" s="354">
        <v>0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4">
        <v>28767.547860758001</v>
      </c>
      <c r="J50" s="354">
        <v>92921.9</v>
      </c>
      <c r="K50" s="354">
        <v>92921.9</v>
      </c>
      <c r="L50" s="354">
        <v>92921.9</v>
      </c>
    </row>
    <row r="51" spans="1:12" ht="15.75" x14ac:dyDescent="0.25">
      <c r="A51" s="281" t="s">
        <v>60</v>
      </c>
      <c r="B51" s="354">
        <v>0</v>
      </c>
      <c r="C51" s="354">
        <v>0</v>
      </c>
      <c r="D51" s="354">
        <v>0</v>
      </c>
      <c r="E51" s="354">
        <v>0</v>
      </c>
      <c r="F51" s="354">
        <v>0</v>
      </c>
      <c r="G51" s="354">
        <v>61673.557565252529</v>
      </c>
      <c r="H51" s="354">
        <v>0</v>
      </c>
      <c r="I51" s="354">
        <v>32253.125630361599</v>
      </c>
      <c r="J51" s="354">
        <v>93926.7</v>
      </c>
      <c r="K51" s="354">
        <v>93926.7</v>
      </c>
      <c r="L51" s="354">
        <v>93926.7</v>
      </c>
    </row>
    <row r="52" spans="1:12" ht="15.75" x14ac:dyDescent="0.25">
      <c r="A52" s="281" t="s">
        <v>57</v>
      </c>
      <c r="B52" s="354">
        <v>30221.491793605375</v>
      </c>
      <c r="C52" s="354">
        <v>0</v>
      </c>
      <c r="D52" s="354">
        <v>0</v>
      </c>
      <c r="E52" s="354">
        <v>0</v>
      </c>
      <c r="F52" s="354">
        <v>0</v>
      </c>
      <c r="G52" s="354">
        <v>0</v>
      </c>
      <c r="H52" s="354">
        <v>0</v>
      </c>
      <c r="I52" s="354">
        <v>16948.311227645383</v>
      </c>
      <c r="J52" s="354">
        <v>47169.8</v>
      </c>
      <c r="K52" s="354">
        <v>47169.8</v>
      </c>
      <c r="L52" s="354">
        <v>47169.8</v>
      </c>
    </row>
    <row r="53" spans="1:12" ht="15.75" x14ac:dyDescent="0.25">
      <c r="A53" s="281" t="s">
        <v>61</v>
      </c>
      <c r="B53" s="354">
        <v>87218.164913124288</v>
      </c>
      <c r="C53" s="354">
        <v>0</v>
      </c>
      <c r="D53" s="354">
        <v>0</v>
      </c>
      <c r="E53" s="354">
        <v>12263.33862095999</v>
      </c>
      <c r="F53" s="354">
        <v>0</v>
      </c>
      <c r="G53" s="354">
        <v>0</v>
      </c>
      <c r="H53" s="354">
        <v>0</v>
      </c>
      <c r="I53" s="354">
        <v>16242.03682816</v>
      </c>
      <c r="J53" s="354">
        <v>115723.5</v>
      </c>
      <c r="K53" s="354">
        <v>115723.5</v>
      </c>
      <c r="L53" s="354">
        <v>115723.5</v>
      </c>
    </row>
    <row r="54" spans="1:12" ht="15.75" x14ac:dyDescent="0.25">
      <c r="A54" s="281" t="s">
        <v>62</v>
      </c>
      <c r="B54" s="354">
        <v>48248.346547685775</v>
      </c>
      <c r="C54" s="354">
        <v>0</v>
      </c>
      <c r="D54" s="354">
        <v>0</v>
      </c>
      <c r="E54" s="354">
        <v>0</v>
      </c>
      <c r="F54" s="354">
        <v>0</v>
      </c>
      <c r="G54" s="354">
        <v>0</v>
      </c>
      <c r="H54" s="354">
        <v>0</v>
      </c>
      <c r="I54" s="354">
        <v>22222.695423999998</v>
      </c>
      <c r="J54" s="354">
        <v>70471</v>
      </c>
      <c r="K54" s="354">
        <v>70471</v>
      </c>
      <c r="L54" s="354">
        <v>70471</v>
      </c>
    </row>
    <row r="55" spans="1:12" ht="15.75" x14ac:dyDescent="0.25">
      <c r="A55" s="281" t="s">
        <v>63</v>
      </c>
      <c r="B55" s="354">
        <v>102461.46121253051</v>
      </c>
      <c r="C55" s="354">
        <v>0</v>
      </c>
      <c r="D55" s="354">
        <v>0</v>
      </c>
      <c r="E55" s="354">
        <v>0</v>
      </c>
      <c r="F55" s="354">
        <v>0</v>
      </c>
      <c r="G55" s="354">
        <v>0</v>
      </c>
      <c r="H55" s="354">
        <v>0</v>
      </c>
      <c r="I55" s="354">
        <v>17264.965054463999</v>
      </c>
      <c r="J55" s="354">
        <v>119726.39999999999</v>
      </c>
      <c r="K55" s="354">
        <v>119726.39999999999</v>
      </c>
      <c r="L55" s="354">
        <v>119726.39999999999</v>
      </c>
    </row>
    <row r="56" spans="1:12" ht="15.75" x14ac:dyDescent="0.25">
      <c r="A56" s="281" t="s">
        <v>64</v>
      </c>
      <c r="B56" s="354">
        <v>120355.76556400738</v>
      </c>
      <c r="C56" s="354">
        <v>0</v>
      </c>
      <c r="D56" s="354">
        <v>0</v>
      </c>
      <c r="E56" s="354">
        <v>0</v>
      </c>
      <c r="F56" s="354">
        <v>0</v>
      </c>
      <c r="G56" s="354">
        <v>0</v>
      </c>
      <c r="H56" s="354">
        <v>0</v>
      </c>
      <c r="I56" s="354">
        <v>27401.424768674402</v>
      </c>
      <c r="J56" s="354">
        <v>147757.20000000001</v>
      </c>
      <c r="K56" s="354">
        <v>147757.20000000001</v>
      </c>
      <c r="L56" s="354">
        <v>147757.20000000001</v>
      </c>
    </row>
  </sheetData>
  <mergeCells count="7">
    <mergeCell ref="A1:L1"/>
    <mergeCell ref="A2:L2"/>
    <mergeCell ref="A17:J17"/>
    <mergeCell ref="A31:J31"/>
    <mergeCell ref="A45:J45"/>
    <mergeCell ref="A6:J6"/>
    <mergeCell ref="A4:J4"/>
  </mergeCells>
  <pageMargins left="0.27559055118110237" right="0.15748031496062992" top="0.74803149606299213" bottom="0.55118110236220474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  <pageSetUpPr fitToPage="1"/>
  </sheetPr>
  <dimension ref="A1:BL158"/>
  <sheetViews>
    <sheetView view="pageBreakPreview" zoomScale="81" zoomScaleNormal="100" zoomScaleSheetLayoutView="81" workbookViewId="0">
      <pane xSplit="2" ySplit="7" topLeftCell="C8" activePane="bottomRight" state="frozen"/>
      <selection activeCell="M51" sqref="M51"/>
      <selection pane="topRight" activeCell="M51" sqref="M51"/>
      <selection pane="bottomLeft" activeCell="M51" sqref="M51"/>
      <selection pane="bottomRight" activeCell="C157" sqref="C157"/>
    </sheetView>
  </sheetViews>
  <sheetFormatPr defaultColWidth="11.85546875" defaultRowHeight="15.75" x14ac:dyDescent="0.25"/>
  <cols>
    <col min="1" max="1" width="53.28515625" style="23" customWidth="1"/>
    <col min="2" max="2" width="13.28515625" style="23" bestFit="1" customWidth="1"/>
    <col min="3" max="3" width="9.85546875" style="23" customWidth="1"/>
    <col min="4" max="4" width="10.5703125" style="23" customWidth="1"/>
    <col min="5" max="5" width="7.5703125" style="23" customWidth="1"/>
    <col min="6" max="6" width="13.28515625" style="23" customWidth="1"/>
    <col min="7" max="7" width="9.7109375" style="23" customWidth="1"/>
    <col min="8" max="8" width="12.85546875" style="23" customWidth="1"/>
    <col min="9" max="9" width="13.140625" style="184" customWidth="1"/>
    <col min="10" max="10" width="11.5703125" style="23" customWidth="1"/>
    <col min="11" max="11" width="12.28515625" style="23" customWidth="1"/>
    <col min="12" max="12" width="9.7109375" style="23" hidden="1" customWidth="1"/>
    <col min="13" max="13" width="8.42578125" style="23" hidden="1" customWidth="1"/>
    <col min="14" max="14" width="28.140625" style="23" customWidth="1"/>
    <col min="15" max="15" width="19.28515625" style="23" customWidth="1"/>
    <col min="16" max="16" width="14" style="23" customWidth="1"/>
    <col min="17" max="17" width="27.42578125" style="23" customWidth="1"/>
    <col min="18" max="18" width="43.7109375" style="23" customWidth="1"/>
    <col min="19" max="19" width="13.140625" style="23" customWidth="1"/>
    <col min="20" max="20" width="5.85546875" style="23" hidden="1" customWidth="1"/>
    <col min="21" max="21" width="25.7109375" style="23" customWidth="1"/>
    <col min="22" max="22" width="29" style="23" customWidth="1"/>
    <col min="23" max="23" width="30.140625" style="23" customWidth="1"/>
    <col min="24" max="24" width="15.140625" style="23" customWidth="1"/>
    <col min="25" max="25" width="24.28515625" style="23" customWidth="1"/>
    <col min="26" max="26" width="38" style="23" customWidth="1"/>
    <col min="27" max="27" width="14.140625" style="23" customWidth="1"/>
    <col min="28" max="28" width="1.5703125" style="23" hidden="1" customWidth="1"/>
    <col min="29" max="29" width="19" style="23" customWidth="1"/>
    <col min="30" max="30" width="6.140625" style="23" hidden="1" customWidth="1"/>
    <col min="31" max="31" width="5" style="23" hidden="1" customWidth="1"/>
    <col min="32" max="32" width="8.140625" style="23" hidden="1" customWidth="1"/>
    <col min="33" max="33" width="2.7109375" style="23" hidden="1" customWidth="1"/>
    <col min="34" max="34" width="12" style="23" hidden="1" customWidth="1"/>
    <col min="35" max="35" width="4.85546875" style="23" hidden="1" customWidth="1"/>
    <col min="36" max="36" width="13.28515625" style="23" hidden="1" customWidth="1"/>
    <col min="37" max="37" width="22.85546875" style="23" customWidth="1"/>
    <col min="38" max="38" width="18.5703125" style="23" customWidth="1"/>
    <col min="39" max="39" width="18.42578125" style="23" customWidth="1"/>
    <col min="40" max="40" width="15" style="23" customWidth="1"/>
    <col min="41" max="41" width="14.5703125" style="23" customWidth="1"/>
    <col min="42" max="42" width="18.28515625" style="23" customWidth="1"/>
    <col min="43" max="43" width="34.85546875" style="23" customWidth="1"/>
    <col min="44" max="44" width="15.5703125" style="23" customWidth="1"/>
    <col min="45" max="45" width="9.140625" style="23" hidden="1" customWidth="1"/>
    <col min="46" max="46" width="12.85546875" style="23" customWidth="1"/>
    <col min="47" max="47" width="19.85546875" style="23" customWidth="1"/>
    <col min="48" max="48" width="2.85546875" style="23" hidden="1" customWidth="1"/>
    <col min="49" max="50" width="13" style="23" customWidth="1"/>
    <col min="51" max="51" width="12" style="23" customWidth="1"/>
    <col min="52" max="52" width="12.85546875" style="23" customWidth="1"/>
    <col min="53" max="53" width="12" style="23" customWidth="1"/>
    <col min="54" max="54" width="13.85546875" style="23" customWidth="1"/>
    <col min="55" max="55" width="29.42578125" style="23" customWidth="1"/>
    <col min="56" max="56" width="8.140625" style="23" customWidth="1"/>
    <col min="57" max="57" width="1.140625" style="23" hidden="1" customWidth="1"/>
    <col min="58" max="58" width="7.42578125" style="23" customWidth="1"/>
    <col min="59" max="59" width="10.28515625" style="23" customWidth="1"/>
    <col min="60" max="60" width="10.5703125" style="23" bestFit="1" customWidth="1"/>
    <col min="61" max="61" width="10.42578125" style="23" customWidth="1"/>
    <col min="62" max="62" width="12.28515625" style="23" customWidth="1"/>
    <col min="63" max="63" width="9.42578125" style="23" bestFit="1" customWidth="1"/>
    <col min="64" max="243" width="9.140625" style="23" customWidth="1"/>
    <col min="244" max="244" width="27.42578125" style="23" customWidth="1"/>
    <col min="245" max="245" width="16.85546875" style="23" customWidth="1"/>
    <col min="246" max="246" width="15" style="23" customWidth="1"/>
    <col min="247" max="16384" width="11.85546875" style="23"/>
  </cols>
  <sheetData>
    <row r="1" spans="1:64" s="365" customFormat="1" x14ac:dyDescent="0.25">
      <c r="A1" s="777" t="s">
        <v>53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</row>
    <row r="2" spans="1:64" s="365" customFormat="1" ht="72.75" customHeight="1" x14ac:dyDescent="0.25">
      <c r="A2" s="784" t="s">
        <v>329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45"/>
      <c r="BH2" s="345"/>
      <c r="BI2" s="345"/>
      <c r="BJ2" s="345"/>
      <c r="BK2" s="345"/>
      <c r="BL2" s="345"/>
    </row>
    <row r="3" spans="1:64" ht="21.75" customHeight="1" x14ac:dyDescent="0.25">
      <c r="A3" s="785"/>
      <c r="B3" s="785"/>
      <c r="C3" s="785"/>
      <c r="D3" s="785"/>
      <c r="E3" s="785"/>
      <c r="F3" s="785"/>
      <c r="G3" s="785"/>
      <c r="H3" s="785"/>
      <c r="I3" s="785"/>
      <c r="J3" s="170"/>
      <c r="K3" s="170"/>
      <c r="L3" s="100"/>
      <c r="M3" s="100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24"/>
      <c r="BH3" s="24"/>
      <c r="BI3" s="24"/>
      <c r="BJ3" s="24"/>
      <c r="BK3" s="24"/>
      <c r="BL3" s="24"/>
    </row>
    <row r="4" spans="1:64" ht="18" customHeight="1" x14ac:dyDescent="0.25">
      <c r="A4" s="100"/>
      <c r="B4" s="100"/>
      <c r="C4" s="100"/>
      <c r="D4" s="100"/>
      <c r="E4" s="100"/>
      <c r="F4" s="100"/>
      <c r="G4" s="100"/>
      <c r="H4" s="100"/>
      <c r="I4" s="183"/>
      <c r="J4" s="788" t="s">
        <v>15</v>
      </c>
      <c r="K4" s="788"/>
      <c r="L4" s="101"/>
      <c r="M4" s="101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24"/>
      <c r="BH4" s="24"/>
      <c r="BI4" s="24"/>
      <c r="BJ4" s="24"/>
      <c r="BK4" s="24"/>
      <c r="BL4" s="24"/>
    </row>
    <row r="5" spans="1:64" s="19" customFormat="1" ht="14.25" customHeight="1" x14ac:dyDescent="0.25">
      <c r="A5" s="786" t="s">
        <v>135</v>
      </c>
      <c r="B5" s="786" t="s">
        <v>136</v>
      </c>
      <c r="C5" s="786" t="s">
        <v>137</v>
      </c>
      <c r="D5" s="786"/>
      <c r="E5" s="786"/>
      <c r="F5" s="786" t="s">
        <v>387</v>
      </c>
      <c r="G5" s="786" t="s">
        <v>385</v>
      </c>
      <c r="H5" s="786" t="s">
        <v>386</v>
      </c>
      <c r="I5" s="787" t="s">
        <v>376</v>
      </c>
      <c r="J5" s="787" t="s">
        <v>377</v>
      </c>
      <c r="K5" s="787" t="s">
        <v>378</v>
      </c>
      <c r="L5" s="781" t="s">
        <v>241</v>
      </c>
      <c r="M5" s="781" t="s">
        <v>242</v>
      </c>
    </row>
    <row r="6" spans="1:64" s="19" customFormat="1" ht="48.75" customHeight="1" x14ac:dyDescent="0.25">
      <c r="A6" s="786"/>
      <c r="B6" s="786"/>
      <c r="C6" s="156" t="s">
        <v>382</v>
      </c>
      <c r="D6" s="156" t="s">
        <v>383</v>
      </c>
      <c r="E6" s="156" t="s">
        <v>384</v>
      </c>
      <c r="F6" s="786"/>
      <c r="G6" s="786"/>
      <c r="H6" s="786"/>
      <c r="I6" s="787"/>
      <c r="J6" s="787"/>
      <c r="K6" s="787"/>
      <c r="L6" s="782"/>
      <c r="M6" s="782"/>
    </row>
    <row r="7" spans="1:64" s="145" customFormat="1" ht="24.75" customHeight="1" x14ac:dyDescent="0.25">
      <c r="A7" s="147" t="s">
        <v>7</v>
      </c>
      <c r="B7" s="148">
        <f>SUM(B8:B16)</f>
        <v>1639.5</v>
      </c>
      <c r="C7" s="148">
        <f>SUM(C8:C16)</f>
        <v>430</v>
      </c>
      <c r="D7" s="148">
        <f>SUM(D8:D16)</f>
        <v>314</v>
      </c>
      <c r="E7" s="148">
        <f>SUM(E8:E16)</f>
        <v>895.5</v>
      </c>
      <c r="F7" s="149"/>
      <c r="G7" s="149"/>
      <c r="H7" s="149"/>
      <c r="I7" s="149">
        <f>SUM(I8:I16)</f>
        <v>35653.400000000009</v>
      </c>
      <c r="J7" s="149">
        <f>SUM(J8:J16)</f>
        <v>35653.400000000009</v>
      </c>
      <c r="K7" s="149">
        <f>SUM(K8:K16)</f>
        <v>35653.400000000009</v>
      </c>
      <c r="L7" s="149">
        <f>SUM(L8:L16)</f>
        <v>27241.400000000005</v>
      </c>
      <c r="M7" s="149">
        <f>SUM(M8:M16)</f>
        <v>8412.0000000000018</v>
      </c>
    </row>
    <row r="8" spans="1:64" s="19" customFormat="1" ht="18" customHeight="1" x14ac:dyDescent="0.25">
      <c r="A8" s="96" t="s">
        <v>6</v>
      </c>
      <c r="B8" s="22">
        <f>C8+D8+E8</f>
        <v>1013</v>
      </c>
      <c r="C8" s="22">
        <f>C20+C31+C43+C74+C85+C96+C108+C118+C130+C140+C150</f>
        <v>292</v>
      </c>
      <c r="D8" s="22">
        <f t="shared" ref="C8:E16" si="0">D20+D31+D43+D74+D85+D96+D108+D118+D130+D140+D150</f>
        <v>188</v>
      </c>
      <c r="E8" s="22">
        <f t="shared" si="0"/>
        <v>533</v>
      </c>
      <c r="F8" s="21"/>
      <c r="G8" s="21"/>
      <c r="H8" s="21"/>
      <c r="I8" s="21">
        <v>22668.300000000003</v>
      </c>
      <c r="J8" s="21">
        <f t="shared" ref="J8:K16" si="1">I8</f>
        <v>22668.300000000003</v>
      </c>
      <c r="K8" s="21">
        <f t="shared" si="1"/>
        <v>22668.300000000003</v>
      </c>
      <c r="L8" s="21">
        <f>I8-M8</f>
        <v>17320.000000000004</v>
      </c>
      <c r="M8" s="21">
        <f t="shared" ref="M8:M16" si="2">ROUND(I8*0.302/1.28,1)</f>
        <v>5348.3</v>
      </c>
    </row>
    <row r="9" spans="1:64" s="19" customFormat="1" ht="18" customHeight="1" x14ac:dyDescent="0.25">
      <c r="A9" s="96" t="s">
        <v>58</v>
      </c>
      <c r="B9" s="22">
        <f t="shared" ref="B9:B16" si="3">C9+D9+E9</f>
        <v>154</v>
      </c>
      <c r="C9" s="22">
        <f t="shared" si="0"/>
        <v>38</v>
      </c>
      <c r="D9" s="22">
        <f t="shared" si="0"/>
        <v>26</v>
      </c>
      <c r="E9" s="22">
        <f t="shared" si="0"/>
        <v>90</v>
      </c>
      <c r="F9" s="21"/>
      <c r="G9" s="21"/>
      <c r="H9" s="21"/>
      <c r="I9" s="21">
        <v>3297.3999999999996</v>
      </c>
      <c r="J9" s="21">
        <f t="shared" si="1"/>
        <v>3297.3999999999996</v>
      </c>
      <c r="K9" s="21">
        <f t="shared" si="1"/>
        <v>3297.3999999999996</v>
      </c>
      <c r="L9" s="21">
        <f t="shared" ref="L9:L16" si="4">I9-M9</f>
        <v>2519.3999999999996</v>
      </c>
      <c r="M9" s="21">
        <f t="shared" si="2"/>
        <v>778</v>
      </c>
    </row>
    <row r="10" spans="1:64" s="19" customFormat="1" ht="18" customHeight="1" x14ac:dyDescent="0.25">
      <c r="A10" s="96" t="s">
        <v>55</v>
      </c>
      <c r="B10" s="22">
        <f t="shared" si="3"/>
        <v>81.5</v>
      </c>
      <c r="C10" s="22">
        <f t="shared" si="0"/>
        <v>22</v>
      </c>
      <c r="D10" s="22">
        <f t="shared" si="0"/>
        <v>12</v>
      </c>
      <c r="E10" s="22">
        <f t="shared" si="0"/>
        <v>47.5</v>
      </c>
      <c r="F10" s="21"/>
      <c r="G10" s="21"/>
      <c r="H10" s="21"/>
      <c r="I10" s="21">
        <v>1477.3000000000002</v>
      </c>
      <c r="J10" s="21">
        <f t="shared" si="1"/>
        <v>1477.3000000000002</v>
      </c>
      <c r="K10" s="21">
        <f t="shared" si="1"/>
        <v>1477.3000000000002</v>
      </c>
      <c r="L10" s="21">
        <f t="shared" si="4"/>
        <v>1128.7000000000003</v>
      </c>
      <c r="M10" s="21">
        <f t="shared" si="2"/>
        <v>348.6</v>
      </c>
    </row>
    <row r="11" spans="1:64" s="19" customFormat="1" ht="18" customHeight="1" x14ac:dyDescent="0.25">
      <c r="A11" s="96" t="s">
        <v>60</v>
      </c>
      <c r="B11" s="22">
        <f t="shared" si="3"/>
        <v>26</v>
      </c>
      <c r="C11" s="22">
        <f t="shared" si="0"/>
        <v>2</v>
      </c>
      <c r="D11" s="22">
        <f t="shared" si="0"/>
        <v>3</v>
      </c>
      <c r="E11" s="22">
        <f t="shared" si="0"/>
        <v>21</v>
      </c>
      <c r="F11" s="21"/>
      <c r="G11" s="21"/>
      <c r="H11" s="21"/>
      <c r="I11" s="21">
        <v>494.3</v>
      </c>
      <c r="J11" s="21">
        <f t="shared" si="1"/>
        <v>494.3</v>
      </c>
      <c r="K11" s="21">
        <f t="shared" si="1"/>
        <v>494.3</v>
      </c>
      <c r="L11" s="21">
        <f t="shared" si="4"/>
        <v>377.70000000000005</v>
      </c>
      <c r="M11" s="21">
        <f t="shared" si="2"/>
        <v>116.6</v>
      </c>
    </row>
    <row r="12" spans="1:64" s="19" customFormat="1" ht="18" customHeight="1" x14ac:dyDescent="0.25">
      <c r="A12" s="96" t="s">
        <v>57</v>
      </c>
      <c r="B12" s="22">
        <f t="shared" si="3"/>
        <v>44</v>
      </c>
      <c r="C12" s="22">
        <f t="shared" si="0"/>
        <v>15</v>
      </c>
      <c r="D12" s="22">
        <f t="shared" si="0"/>
        <v>6</v>
      </c>
      <c r="E12" s="22">
        <f t="shared" si="0"/>
        <v>23</v>
      </c>
      <c r="F12" s="21"/>
      <c r="G12" s="21"/>
      <c r="H12" s="21"/>
      <c r="I12" s="21">
        <v>890.5</v>
      </c>
      <c r="J12" s="21">
        <f t="shared" si="1"/>
        <v>890.5</v>
      </c>
      <c r="K12" s="21">
        <f t="shared" si="1"/>
        <v>890.5</v>
      </c>
      <c r="L12" s="21">
        <f t="shared" si="4"/>
        <v>680.4</v>
      </c>
      <c r="M12" s="21">
        <f t="shared" si="2"/>
        <v>210.1</v>
      </c>
    </row>
    <row r="13" spans="1:64" s="19" customFormat="1" ht="18" customHeight="1" x14ac:dyDescent="0.25">
      <c r="A13" s="96" t="s">
        <v>61</v>
      </c>
      <c r="B13" s="22">
        <f t="shared" si="3"/>
        <v>88</v>
      </c>
      <c r="C13" s="22">
        <f t="shared" si="0"/>
        <v>14</v>
      </c>
      <c r="D13" s="22">
        <f t="shared" si="0"/>
        <v>25</v>
      </c>
      <c r="E13" s="22">
        <f t="shared" si="0"/>
        <v>49</v>
      </c>
      <c r="F13" s="21"/>
      <c r="G13" s="21"/>
      <c r="H13" s="21"/>
      <c r="I13" s="21">
        <v>1891.6999999999998</v>
      </c>
      <c r="J13" s="21">
        <f t="shared" si="1"/>
        <v>1891.6999999999998</v>
      </c>
      <c r="K13" s="21">
        <f t="shared" si="1"/>
        <v>1891.6999999999998</v>
      </c>
      <c r="L13" s="21">
        <f t="shared" si="4"/>
        <v>1445.3999999999999</v>
      </c>
      <c r="M13" s="21">
        <f t="shared" si="2"/>
        <v>446.3</v>
      </c>
    </row>
    <row r="14" spans="1:64" s="19" customFormat="1" ht="18" customHeight="1" x14ac:dyDescent="0.25">
      <c r="A14" s="96" t="s">
        <v>62</v>
      </c>
      <c r="B14" s="22">
        <f t="shared" si="3"/>
        <v>60</v>
      </c>
      <c r="C14" s="22">
        <f t="shared" si="0"/>
        <v>14</v>
      </c>
      <c r="D14" s="22">
        <f t="shared" si="0"/>
        <v>7</v>
      </c>
      <c r="E14" s="22">
        <f t="shared" si="0"/>
        <v>39</v>
      </c>
      <c r="F14" s="21"/>
      <c r="G14" s="21"/>
      <c r="H14" s="21"/>
      <c r="I14" s="21">
        <v>1252.7000000000003</v>
      </c>
      <c r="J14" s="21">
        <f t="shared" si="1"/>
        <v>1252.7000000000003</v>
      </c>
      <c r="K14" s="21">
        <f t="shared" si="1"/>
        <v>1252.7000000000003</v>
      </c>
      <c r="L14" s="21">
        <f t="shared" si="4"/>
        <v>957.10000000000025</v>
      </c>
      <c r="M14" s="21">
        <f t="shared" si="2"/>
        <v>295.60000000000002</v>
      </c>
    </row>
    <row r="15" spans="1:64" s="19" customFormat="1" ht="18" customHeight="1" x14ac:dyDescent="0.25">
      <c r="A15" s="96" t="s">
        <v>63</v>
      </c>
      <c r="B15" s="22">
        <f t="shared" si="3"/>
        <v>95</v>
      </c>
      <c r="C15" s="22">
        <f t="shared" si="0"/>
        <v>24</v>
      </c>
      <c r="D15" s="22">
        <f t="shared" si="0"/>
        <v>28</v>
      </c>
      <c r="E15" s="22">
        <f t="shared" si="0"/>
        <v>43</v>
      </c>
      <c r="F15" s="21"/>
      <c r="G15" s="21"/>
      <c r="H15" s="21"/>
      <c r="I15" s="21">
        <v>1935.3999999999999</v>
      </c>
      <c r="J15" s="21">
        <f t="shared" si="1"/>
        <v>1935.3999999999999</v>
      </c>
      <c r="K15" s="21">
        <f t="shared" si="1"/>
        <v>1935.3999999999999</v>
      </c>
      <c r="L15" s="21">
        <f t="shared" si="4"/>
        <v>1478.7999999999997</v>
      </c>
      <c r="M15" s="21">
        <f t="shared" si="2"/>
        <v>456.6</v>
      </c>
    </row>
    <row r="16" spans="1:64" s="19" customFormat="1" ht="18" customHeight="1" x14ac:dyDescent="0.25">
      <c r="A16" s="96" t="s">
        <v>64</v>
      </c>
      <c r="B16" s="22">
        <f t="shared" si="3"/>
        <v>78</v>
      </c>
      <c r="C16" s="22">
        <f t="shared" si="0"/>
        <v>9</v>
      </c>
      <c r="D16" s="22">
        <f t="shared" si="0"/>
        <v>19</v>
      </c>
      <c r="E16" s="22">
        <f t="shared" si="0"/>
        <v>50</v>
      </c>
      <c r="F16" s="21"/>
      <c r="G16" s="21"/>
      <c r="H16" s="21"/>
      <c r="I16" s="21">
        <v>1745.8</v>
      </c>
      <c r="J16" s="21">
        <f t="shared" si="1"/>
        <v>1745.8</v>
      </c>
      <c r="K16" s="21">
        <f t="shared" si="1"/>
        <v>1745.8</v>
      </c>
      <c r="L16" s="21">
        <f t="shared" si="4"/>
        <v>1333.9</v>
      </c>
      <c r="M16" s="21">
        <f t="shared" si="2"/>
        <v>411.9</v>
      </c>
    </row>
    <row r="17" spans="1:13" s="19" customFormat="1" ht="13.5" customHeight="1" x14ac:dyDescent="0.25">
      <c r="A17" s="783" t="s">
        <v>5</v>
      </c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</row>
    <row r="18" spans="1:13" s="19" customFormat="1" ht="19.5" customHeight="1" x14ac:dyDescent="0.25">
      <c r="A18" s="94" t="s">
        <v>138</v>
      </c>
      <c r="B18" s="20" t="s">
        <v>139</v>
      </c>
      <c r="C18" s="20"/>
      <c r="D18" s="20"/>
      <c r="E18" s="20"/>
      <c r="F18" s="20" t="s">
        <v>140</v>
      </c>
      <c r="G18" s="20"/>
      <c r="H18" s="20"/>
      <c r="I18" s="134"/>
      <c r="J18" s="135"/>
      <c r="K18" s="135"/>
      <c r="L18" s="135"/>
      <c r="M18" s="135"/>
    </row>
    <row r="19" spans="1:13" s="145" customFormat="1" x14ac:dyDescent="0.25">
      <c r="A19" s="150" t="s">
        <v>141</v>
      </c>
      <c r="B19" s="148">
        <f>SUM(B20:B28)</f>
        <v>20</v>
      </c>
      <c r="C19" s="148">
        <f>SUM(C20:C28)</f>
        <v>4</v>
      </c>
      <c r="D19" s="148">
        <f>SUM(D20:D28)</f>
        <v>3</v>
      </c>
      <c r="E19" s="148">
        <f>SUM(E20:E28)</f>
        <v>13</v>
      </c>
      <c r="F19" s="151"/>
      <c r="G19" s="151"/>
      <c r="H19" s="151"/>
      <c r="I19" s="149">
        <f>SUM(I20:I28)</f>
        <v>930.7</v>
      </c>
      <c r="J19" s="152"/>
      <c r="K19" s="152"/>
      <c r="L19" s="153"/>
      <c r="M19" s="153"/>
    </row>
    <row r="20" spans="1:13" s="19" customFormat="1" ht="15.75" customHeight="1" x14ac:dyDescent="0.25">
      <c r="A20" s="97" t="s">
        <v>6</v>
      </c>
      <c r="B20" s="20">
        <f t="shared" ref="B20:B28" si="5">C20+D20+E20</f>
        <v>3</v>
      </c>
      <c r="C20" s="191">
        <v>1</v>
      </c>
      <c r="D20" s="191">
        <v>1</v>
      </c>
      <c r="E20" s="191">
        <v>1</v>
      </c>
      <c r="F20" s="95">
        <v>35000</v>
      </c>
      <c r="G20" s="95"/>
      <c r="H20" s="20">
        <v>1.28</v>
      </c>
      <c r="I20" s="134">
        <f>ROUND((B20*F20*H20)/1000,1)</f>
        <v>134.4</v>
      </c>
      <c r="J20" s="142"/>
      <c r="K20" s="142"/>
      <c r="L20" s="134"/>
      <c r="M20" s="134"/>
    </row>
    <row r="21" spans="1:13" s="19" customFormat="1" ht="15.75" customHeight="1" x14ac:dyDescent="0.25">
      <c r="A21" s="97" t="s">
        <v>58</v>
      </c>
      <c r="B21" s="20">
        <f t="shared" si="5"/>
        <v>2</v>
      </c>
      <c r="C21" s="191">
        <v>1</v>
      </c>
      <c r="D21" s="191"/>
      <c r="E21" s="191">
        <v>1</v>
      </c>
      <c r="F21" s="95">
        <v>38500</v>
      </c>
      <c r="G21" s="95"/>
      <c r="H21" s="20">
        <v>1.28</v>
      </c>
      <c r="I21" s="134">
        <f t="shared" ref="I21:I28" si="6">ROUND((B21*F21*H21)/1000,1)</f>
        <v>98.6</v>
      </c>
      <c r="J21" s="142"/>
      <c r="K21" s="142"/>
      <c r="L21" s="134"/>
      <c r="M21" s="134"/>
    </row>
    <row r="22" spans="1:13" s="19" customFormat="1" ht="15.75" customHeight="1" x14ac:dyDescent="0.25">
      <c r="A22" s="97" t="s">
        <v>55</v>
      </c>
      <c r="B22" s="20">
        <f t="shared" si="5"/>
        <v>0</v>
      </c>
      <c r="C22" s="191"/>
      <c r="D22" s="191"/>
      <c r="E22" s="191"/>
      <c r="F22" s="95">
        <v>41700</v>
      </c>
      <c r="G22" s="95"/>
      <c r="H22" s="20">
        <v>1.28</v>
      </c>
      <c r="I22" s="134">
        <f t="shared" si="6"/>
        <v>0</v>
      </c>
      <c r="J22" s="142"/>
      <c r="K22" s="142"/>
      <c r="L22" s="134"/>
      <c r="M22" s="134"/>
    </row>
    <row r="23" spans="1:13" s="19" customFormat="1" ht="15.75" customHeight="1" x14ac:dyDescent="0.25">
      <c r="A23" s="97" t="s">
        <v>60</v>
      </c>
      <c r="B23" s="20">
        <f t="shared" si="5"/>
        <v>0</v>
      </c>
      <c r="C23" s="191"/>
      <c r="D23" s="191"/>
      <c r="E23" s="191"/>
      <c r="F23" s="95">
        <v>46700</v>
      </c>
      <c r="G23" s="95"/>
      <c r="H23" s="20">
        <v>1.28</v>
      </c>
      <c r="I23" s="134">
        <f t="shared" si="6"/>
        <v>0</v>
      </c>
      <c r="J23" s="142"/>
      <c r="K23" s="142"/>
      <c r="L23" s="134"/>
      <c r="M23" s="134"/>
    </row>
    <row r="24" spans="1:13" s="19" customFormat="1" ht="15.75" customHeight="1" x14ac:dyDescent="0.25">
      <c r="A24" s="97" t="s">
        <v>57</v>
      </c>
      <c r="B24" s="20">
        <f t="shared" si="5"/>
        <v>0</v>
      </c>
      <c r="C24" s="191"/>
      <c r="D24" s="191"/>
      <c r="E24" s="191"/>
      <c r="F24" s="95">
        <v>35500</v>
      </c>
      <c r="G24" s="95"/>
      <c r="H24" s="20">
        <v>1.28</v>
      </c>
      <c r="I24" s="134">
        <f t="shared" si="6"/>
        <v>0</v>
      </c>
      <c r="J24" s="142"/>
      <c r="K24" s="142"/>
      <c r="L24" s="134"/>
      <c r="M24" s="134"/>
    </row>
    <row r="25" spans="1:13" s="19" customFormat="1" ht="15.75" customHeight="1" x14ac:dyDescent="0.25">
      <c r="A25" s="97" t="s">
        <v>61</v>
      </c>
      <c r="B25" s="20">
        <f t="shared" si="5"/>
        <v>4</v>
      </c>
      <c r="C25" s="191"/>
      <c r="D25" s="191">
        <v>1</v>
      </c>
      <c r="E25" s="191">
        <v>3</v>
      </c>
      <c r="F25" s="95">
        <v>36900</v>
      </c>
      <c r="G25" s="95"/>
      <c r="H25" s="20">
        <v>1.28</v>
      </c>
      <c r="I25" s="134">
        <f t="shared" si="6"/>
        <v>188.9</v>
      </c>
      <c r="J25" s="142"/>
      <c r="K25" s="142"/>
      <c r="L25" s="134"/>
      <c r="M25" s="134"/>
    </row>
    <row r="26" spans="1:13" s="19" customFormat="1" ht="15.75" customHeight="1" x14ac:dyDescent="0.25">
      <c r="A26" s="97" t="s">
        <v>62</v>
      </c>
      <c r="B26" s="20">
        <f t="shared" si="5"/>
        <v>5</v>
      </c>
      <c r="C26" s="191">
        <v>2</v>
      </c>
      <c r="D26" s="191">
        <v>1</v>
      </c>
      <c r="E26" s="191">
        <v>2</v>
      </c>
      <c r="F26" s="95">
        <v>35700</v>
      </c>
      <c r="G26" s="95"/>
      <c r="H26" s="20">
        <v>1.28</v>
      </c>
      <c r="I26" s="134">
        <f t="shared" si="6"/>
        <v>228.5</v>
      </c>
      <c r="J26" s="142"/>
      <c r="K26" s="142"/>
      <c r="L26" s="134"/>
      <c r="M26" s="134"/>
    </row>
    <row r="27" spans="1:13" s="19" customFormat="1" ht="15.75" customHeight="1" x14ac:dyDescent="0.25">
      <c r="A27" s="97" t="s">
        <v>63</v>
      </c>
      <c r="B27" s="20">
        <f t="shared" si="5"/>
        <v>0</v>
      </c>
      <c r="C27" s="191"/>
      <c r="D27" s="191"/>
      <c r="E27" s="191"/>
      <c r="F27" s="95">
        <v>34700</v>
      </c>
      <c r="G27" s="95"/>
      <c r="H27" s="20">
        <v>1.28</v>
      </c>
      <c r="I27" s="134">
        <f t="shared" si="6"/>
        <v>0</v>
      </c>
      <c r="J27" s="142"/>
      <c r="K27" s="142"/>
      <c r="L27" s="134"/>
      <c r="M27" s="134"/>
    </row>
    <row r="28" spans="1:13" s="19" customFormat="1" ht="15.75" customHeight="1" x14ac:dyDescent="0.25">
      <c r="A28" s="97" t="s">
        <v>64</v>
      </c>
      <c r="B28" s="20">
        <f t="shared" si="5"/>
        <v>6</v>
      </c>
      <c r="C28" s="191"/>
      <c r="D28" s="191"/>
      <c r="E28" s="191">
        <v>6</v>
      </c>
      <c r="F28" s="95">
        <v>36500</v>
      </c>
      <c r="G28" s="95"/>
      <c r="H28" s="20">
        <v>1.28</v>
      </c>
      <c r="I28" s="134">
        <f t="shared" si="6"/>
        <v>280.3</v>
      </c>
      <c r="J28" s="142"/>
      <c r="K28" s="142"/>
      <c r="L28" s="134"/>
      <c r="M28" s="134"/>
    </row>
    <row r="29" spans="1:13" s="19" customFormat="1" ht="15.75" customHeight="1" x14ac:dyDescent="0.25">
      <c r="A29" s="94" t="s">
        <v>142</v>
      </c>
      <c r="B29" s="20" t="s">
        <v>139</v>
      </c>
      <c r="C29" s="20"/>
      <c r="D29" s="20"/>
      <c r="E29" s="20"/>
      <c r="F29" s="20" t="s">
        <v>143</v>
      </c>
      <c r="G29" s="20"/>
      <c r="H29" s="20" t="s">
        <v>144</v>
      </c>
      <c r="I29" s="134"/>
      <c r="J29" s="135"/>
      <c r="K29" s="135"/>
      <c r="L29" s="135"/>
      <c r="M29" s="135"/>
    </row>
    <row r="30" spans="1:13" s="145" customFormat="1" ht="47.25" x14ac:dyDescent="0.25">
      <c r="A30" s="150" t="s">
        <v>145</v>
      </c>
      <c r="B30" s="154">
        <f>SUM(B31:B39)</f>
        <v>35</v>
      </c>
      <c r="C30" s="154">
        <f>SUM(C31:C39)</f>
        <v>7</v>
      </c>
      <c r="D30" s="154">
        <f>SUM(D31:D39)</f>
        <v>8</v>
      </c>
      <c r="E30" s="154">
        <f>SUM(E31:E39)</f>
        <v>20</v>
      </c>
      <c r="F30" s="154"/>
      <c r="G30" s="154"/>
      <c r="H30" s="154"/>
      <c r="I30" s="149">
        <f>SUM(I31:I39)</f>
        <v>1337.7</v>
      </c>
      <c r="J30" s="152"/>
      <c r="K30" s="152"/>
      <c r="L30" s="153"/>
      <c r="M30" s="153"/>
    </row>
    <row r="31" spans="1:13" s="19" customFormat="1" ht="15.75" customHeight="1" x14ac:dyDescent="0.25">
      <c r="A31" s="97" t="s">
        <v>6</v>
      </c>
      <c r="B31" s="20">
        <f t="shared" ref="B31:B39" si="7">C31+D31+E31</f>
        <v>18</v>
      </c>
      <c r="C31" s="192">
        <v>6</v>
      </c>
      <c r="D31" s="192">
        <v>4</v>
      </c>
      <c r="E31" s="192">
        <v>8</v>
      </c>
      <c r="F31" s="95">
        <v>29860</v>
      </c>
      <c r="G31" s="20"/>
      <c r="H31" s="20">
        <v>1.28</v>
      </c>
      <c r="I31" s="134">
        <f>ROUND((B31*F31*H31)/1000,1)</f>
        <v>688</v>
      </c>
      <c r="J31" s="142"/>
      <c r="K31" s="142"/>
      <c r="L31" s="134"/>
      <c r="M31" s="134"/>
    </row>
    <row r="32" spans="1:13" s="19" customFormat="1" ht="15.75" customHeight="1" x14ac:dyDescent="0.25">
      <c r="A32" s="97" t="s">
        <v>58</v>
      </c>
      <c r="B32" s="20">
        <f t="shared" si="7"/>
        <v>5</v>
      </c>
      <c r="C32" s="192">
        <v>1</v>
      </c>
      <c r="D32" s="192"/>
      <c r="E32" s="192">
        <v>4</v>
      </c>
      <c r="F32" s="95">
        <v>29860</v>
      </c>
      <c r="G32" s="20"/>
      <c r="H32" s="20">
        <v>1.28</v>
      </c>
      <c r="I32" s="134">
        <f t="shared" ref="I32:I39" si="8">ROUND((B32*F32*H32)/1000,1)</f>
        <v>191.1</v>
      </c>
      <c r="J32" s="142"/>
      <c r="K32" s="142"/>
      <c r="L32" s="134"/>
      <c r="M32" s="134"/>
    </row>
    <row r="33" spans="1:13" s="19" customFormat="1" ht="15.75" customHeight="1" x14ac:dyDescent="0.25">
      <c r="A33" s="97" t="s">
        <v>55</v>
      </c>
      <c r="B33" s="20">
        <f t="shared" si="7"/>
        <v>3</v>
      </c>
      <c r="C33" s="192"/>
      <c r="D33" s="192"/>
      <c r="E33" s="192">
        <v>3</v>
      </c>
      <c r="F33" s="95">
        <v>29860</v>
      </c>
      <c r="G33" s="20"/>
      <c r="H33" s="20">
        <v>1.28</v>
      </c>
      <c r="I33" s="134">
        <f t="shared" si="8"/>
        <v>114.7</v>
      </c>
      <c r="J33" s="142"/>
      <c r="K33" s="142"/>
      <c r="L33" s="134"/>
      <c r="M33" s="134"/>
    </row>
    <row r="34" spans="1:13" s="19" customFormat="1" ht="15.75" customHeight="1" x14ac:dyDescent="0.25">
      <c r="A34" s="97" t="s">
        <v>60</v>
      </c>
      <c r="B34" s="20">
        <f t="shared" si="7"/>
        <v>0</v>
      </c>
      <c r="C34" s="192"/>
      <c r="D34" s="192"/>
      <c r="E34" s="192"/>
      <c r="F34" s="95">
        <v>29860</v>
      </c>
      <c r="G34" s="20"/>
      <c r="H34" s="20">
        <v>1.28</v>
      </c>
      <c r="I34" s="134">
        <f t="shared" si="8"/>
        <v>0</v>
      </c>
      <c r="J34" s="142"/>
      <c r="K34" s="142"/>
      <c r="L34" s="134"/>
      <c r="M34" s="134"/>
    </row>
    <row r="35" spans="1:13" s="19" customFormat="1" ht="15.75" customHeight="1" x14ac:dyDescent="0.25">
      <c r="A35" s="97" t="s">
        <v>57</v>
      </c>
      <c r="B35" s="20">
        <f t="shared" si="7"/>
        <v>0</v>
      </c>
      <c r="C35" s="192"/>
      <c r="D35" s="192"/>
      <c r="E35" s="192"/>
      <c r="F35" s="95">
        <v>29860</v>
      </c>
      <c r="G35" s="20"/>
      <c r="H35" s="20">
        <v>1.28</v>
      </c>
      <c r="I35" s="134">
        <f t="shared" si="8"/>
        <v>0</v>
      </c>
      <c r="J35" s="142"/>
      <c r="K35" s="142"/>
      <c r="L35" s="134"/>
      <c r="M35" s="134"/>
    </row>
    <row r="36" spans="1:13" s="19" customFormat="1" ht="15.75" customHeight="1" x14ac:dyDescent="0.25">
      <c r="A36" s="97" t="s">
        <v>61</v>
      </c>
      <c r="B36" s="20">
        <f t="shared" si="7"/>
        <v>1</v>
      </c>
      <c r="C36" s="192"/>
      <c r="D36" s="192"/>
      <c r="E36" s="192">
        <v>1</v>
      </c>
      <c r="F36" s="95">
        <v>29860</v>
      </c>
      <c r="G36" s="20"/>
      <c r="H36" s="20">
        <v>1.28</v>
      </c>
      <c r="I36" s="134">
        <f t="shared" si="8"/>
        <v>38.200000000000003</v>
      </c>
      <c r="J36" s="142"/>
      <c r="K36" s="142"/>
      <c r="L36" s="134"/>
      <c r="M36" s="134"/>
    </row>
    <row r="37" spans="1:13" s="19" customFormat="1" ht="15.75" customHeight="1" x14ac:dyDescent="0.25">
      <c r="A37" s="97" t="s">
        <v>62</v>
      </c>
      <c r="B37" s="20">
        <f t="shared" si="7"/>
        <v>1</v>
      </c>
      <c r="C37" s="192"/>
      <c r="D37" s="192">
        <v>1</v>
      </c>
      <c r="E37" s="192"/>
      <c r="F37" s="95">
        <v>29860</v>
      </c>
      <c r="G37" s="20"/>
      <c r="H37" s="20">
        <v>1.28</v>
      </c>
      <c r="I37" s="134">
        <f t="shared" si="8"/>
        <v>38.200000000000003</v>
      </c>
      <c r="J37" s="142"/>
      <c r="K37" s="142"/>
      <c r="L37" s="134"/>
      <c r="M37" s="134"/>
    </row>
    <row r="38" spans="1:13" s="19" customFormat="1" ht="15.75" customHeight="1" x14ac:dyDescent="0.25">
      <c r="A38" s="97" t="s">
        <v>63</v>
      </c>
      <c r="B38" s="20">
        <f t="shared" si="7"/>
        <v>6</v>
      </c>
      <c r="C38" s="192"/>
      <c r="D38" s="192">
        <v>3</v>
      </c>
      <c r="E38" s="192">
        <v>3</v>
      </c>
      <c r="F38" s="95">
        <v>29860</v>
      </c>
      <c r="G38" s="20"/>
      <c r="H38" s="20">
        <v>1.28</v>
      </c>
      <c r="I38" s="134">
        <f t="shared" si="8"/>
        <v>229.3</v>
      </c>
      <c r="J38" s="142"/>
      <c r="K38" s="142"/>
      <c r="L38" s="134"/>
      <c r="M38" s="134"/>
    </row>
    <row r="39" spans="1:13" s="19" customFormat="1" ht="15.75" customHeight="1" x14ac:dyDescent="0.25">
      <c r="A39" s="97" t="s">
        <v>64</v>
      </c>
      <c r="B39" s="20">
        <f t="shared" si="7"/>
        <v>1</v>
      </c>
      <c r="C39" s="192"/>
      <c r="D39" s="192"/>
      <c r="E39" s="192">
        <v>1</v>
      </c>
      <c r="F39" s="95">
        <v>29860</v>
      </c>
      <c r="G39" s="20"/>
      <c r="H39" s="20">
        <v>1.28</v>
      </c>
      <c r="I39" s="134">
        <f t="shared" si="8"/>
        <v>38.200000000000003</v>
      </c>
      <c r="J39" s="142"/>
      <c r="K39" s="142"/>
      <c r="L39" s="134"/>
      <c r="M39" s="134"/>
    </row>
    <row r="40" spans="1:13" s="19" customFormat="1" ht="27.75" customHeight="1" x14ac:dyDescent="0.25">
      <c r="A40" s="94" t="s">
        <v>146</v>
      </c>
      <c r="B40" s="20" t="s">
        <v>147</v>
      </c>
      <c r="C40" s="20"/>
      <c r="D40" s="20"/>
      <c r="E40" s="20"/>
      <c r="F40" s="20" t="s">
        <v>148</v>
      </c>
      <c r="G40" s="20" t="s">
        <v>149</v>
      </c>
      <c r="H40" s="20" t="s">
        <v>144</v>
      </c>
      <c r="I40" s="134"/>
      <c r="J40" s="135"/>
      <c r="K40" s="135"/>
      <c r="L40" s="135"/>
      <c r="M40" s="135"/>
    </row>
    <row r="41" spans="1:13" s="145" customFormat="1" ht="31.5" x14ac:dyDescent="0.25">
      <c r="A41" s="150" t="s">
        <v>150</v>
      </c>
      <c r="B41" s="154">
        <f>C41+D41+E41</f>
        <v>1462</v>
      </c>
      <c r="C41" s="154">
        <f>C52+C62</f>
        <v>388</v>
      </c>
      <c r="D41" s="154">
        <f>D52+D62</f>
        <v>274</v>
      </c>
      <c r="E41" s="154">
        <f>E52+E62</f>
        <v>800</v>
      </c>
      <c r="F41" s="154"/>
      <c r="G41" s="154"/>
      <c r="H41" s="154"/>
      <c r="I41" s="153">
        <f>SUM(I43:I51)</f>
        <v>30865.099999999995</v>
      </c>
      <c r="J41" s="153"/>
      <c r="K41" s="153"/>
      <c r="L41" s="153"/>
      <c r="M41" s="153"/>
    </row>
    <row r="42" spans="1:13" s="145" customFormat="1" ht="18.75" customHeight="1" x14ac:dyDescent="0.25">
      <c r="A42" s="143" t="s">
        <v>52</v>
      </c>
      <c r="B42" s="144">
        <f>SUM(B43:B51)</f>
        <v>1462</v>
      </c>
      <c r="C42" s="144">
        <f>SUM(C43:C51)</f>
        <v>388</v>
      </c>
      <c r="D42" s="144">
        <f>SUM(D43:D51)</f>
        <v>274</v>
      </c>
      <c r="E42" s="144">
        <f>SUM(E43:E51)</f>
        <v>800</v>
      </c>
      <c r="F42" s="144"/>
      <c r="G42" s="144"/>
      <c r="H42" s="144"/>
      <c r="I42" s="146">
        <f>I52+I62</f>
        <v>30865.100000000002</v>
      </c>
      <c r="J42" s="146"/>
      <c r="K42" s="146"/>
      <c r="L42" s="146"/>
      <c r="M42" s="146"/>
    </row>
    <row r="43" spans="1:13" s="19" customFormat="1" ht="17.25" customHeight="1" x14ac:dyDescent="0.25">
      <c r="A43" s="97" t="s">
        <v>6</v>
      </c>
      <c r="B43" s="20">
        <f>C43+D43+E43</f>
        <v>939</v>
      </c>
      <c r="C43" s="20">
        <f t="shared" ref="C43:E51" si="9">C53+C63</f>
        <v>271</v>
      </c>
      <c r="D43" s="20">
        <f t="shared" si="9"/>
        <v>161</v>
      </c>
      <c r="E43" s="20">
        <f t="shared" si="9"/>
        <v>507</v>
      </c>
      <c r="F43" s="20"/>
      <c r="G43" s="20"/>
      <c r="H43" s="20"/>
      <c r="I43" s="134">
        <f>I53+I63</f>
        <v>21037.3</v>
      </c>
      <c r="J43" s="134"/>
      <c r="K43" s="134"/>
      <c r="L43" s="134"/>
      <c r="M43" s="134"/>
    </row>
    <row r="44" spans="1:13" s="19" customFormat="1" ht="17.25" customHeight="1" x14ac:dyDescent="0.25">
      <c r="A44" s="97" t="s">
        <v>58</v>
      </c>
      <c r="B44" s="20">
        <f t="shared" ref="B44:B51" si="10">C44+D44+E44</f>
        <v>123</v>
      </c>
      <c r="C44" s="20">
        <f t="shared" si="9"/>
        <v>31</v>
      </c>
      <c r="D44" s="20">
        <f t="shared" si="9"/>
        <v>26</v>
      </c>
      <c r="E44" s="20">
        <f t="shared" si="9"/>
        <v>66</v>
      </c>
      <c r="F44" s="20"/>
      <c r="G44" s="20"/>
      <c r="H44" s="20"/>
      <c r="I44" s="134">
        <f t="shared" ref="I44:I51" si="11">I54+I64</f>
        <v>2391.8999999999996</v>
      </c>
      <c r="J44" s="134"/>
      <c r="K44" s="134"/>
      <c r="L44" s="134"/>
      <c r="M44" s="134"/>
    </row>
    <row r="45" spans="1:13" s="19" customFormat="1" ht="17.25" customHeight="1" x14ac:dyDescent="0.25">
      <c r="A45" s="97" t="s">
        <v>55</v>
      </c>
      <c r="B45" s="20">
        <f>C45+D45+E45</f>
        <v>71</v>
      </c>
      <c r="C45" s="20">
        <f t="shared" si="9"/>
        <v>22</v>
      </c>
      <c r="D45" s="20">
        <f t="shared" si="9"/>
        <v>12</v>
      </c>
      <c r="E45" s="20">
        <f t="shared" si="9"/>
        <v>37</v>
      </c>
      <c r="F45" s="20"/>
      <c r="G45" s="20"/>
      <c r="H45" s="20"/>
      <c r="I45" s="134">
        <f t="shared" si="11"/>
        <v>1181.7</v>
      </c>
      <c r="J45" s="134"/>
      <c r="K45" s="134"/>
      <c r="L45" s="134"/>
      <c r="M45" s="134"/>
    </row>
    <row r="46" spans="1:13" s="19" customFormat="1" ht="17.25" customHeight="1" x14ac:dyDescent="0.25">
      <c r="A46" s="97" t="s">
        <v>60</v>
      </c>
      <c r="B46" s="20">
        <f t="shared" si="10"/>
        <v>26</v>
      </c>
      <c r="C46" s="20">
        <f t="shared" si="9"/>
        <v>2</v>
      </c>
      <c r="D46" s="20">
        <f t="shared" si="9"/>
        <v>3</v>
      </c>
      <c r="E46" s="20">
        <f t="shared" si="9"/>
        <v>21</v>
      </c>
      <c r="F46" s="20"/>
      <c r="G46" s="20"/>
      <c r="H46" s="20"/>
      <c r="I46" s="134">
        <f t="shared" si="11"/>
        <v>494.3</v>
      </c>
      <c r="J46" s="134"/>
      <c r="K46" s="134"/>
      <c r="L46" s="134"/>
      <c r="M46" s="134"/>
    </row>
    <row r="47" spans="1:13" s="19" customFormat="1" ht="17.25" customHeight="1" x14ac:dyDescent="0.25">
      <c r="A47" s="97" t="s">
        <v>57</v>
      </c>
      <c r="B47" s="20">
        <f t="shared" si="10"/>
        <v>38</v>
      </c>
      <c r="C47" s="20">
        <f t="shared" si="9"/>
        <v>14</v>
      </c>
      <c r="D47" s="20">
        <f t="shared" si="9"/>
        <v>6</v>
      </c>
      <c r="E47" s="20">
        <f t="shared" si="9"/>
        <v>18</v>
      </c>
      <c r="F47" s="20"/>
      <c r="G47" s="20"/>
      <c r="H47" s="20"/>
      <c r="I47" s="134">
        <f t="shared" si="11"/>
        <v>729.3</v>
      </c>
      <c r="J47" s="134"/>
      <c r="K47" s="134"/>
      <c r="L47" s="134"/>
      <c r="M47" s="134"/>
    </row>
    <row r="48" spans="1:13" s="19" customFormat="1" ht="17.25" customHeight="1" x14ac:dyDescent="0.25">
      <c r="A48" s="97" t="s">
        <v>61</v>
      </c>
      <c r="B48" s="20">
        <f t="shared" si="10"/>
        <v>76</v>
      </c>
      <c r="C48" s="20">
        <f t="shared" si="9"/>
        <v>14</v>
      </c>
      <c r="D48" s="20">
        <f t="shared" si="9"/>
        <v>22</v>
      </c>
      <c r="E48" s="20">
        <f t="shared" si="9"/>
        <v>40</v>
      </c>
      <c r="F48" s="20"/>
      <c r="G48" s="20"/>
      <c r="H48" s="20"/>
      <c r="I48" s="134">
        <f t="shared" si="11"/>
        <v>1478.4</v>
      </c>
      <c r="J48" s="134"/>
      <c r="K48" s="134"/>
      <c r="L48" s="134"/>
      <c r="M48" s="134"/>
    </row>
    <row r="49" spans="1:13" s="19" customFormat="1" ht="17.25" customHeight="1" x14ac:dyDescent="0.25">
      <c r="A49" s="97" t="s">
        <v>62</v>
      </c>
      <c r="B49" s="20">
        <f t="shared" si="10"/>
        <v>47</v>
      </c>
      <c r="C49" s="20">
        <f t="shared" si="9"/>
        <v>6</v>
      </c>
      <c r="D49" s="20">
        <f t="shared" si="9"/>
        <v>5</v>
      </c>
      <c r="E49" s="20">
        <f t="shared" si="9"/>
        <v>36</v>
      </c>
      <c r="F49" s="20"/>
      <c r="G49" s="20"/>
      <c r="H49" s="20"/>
      <c r="I49" s="134">
        <f t="shared" si="11"/>
        <v>854.5</v>
      </c>
      <c r="J49" s="134"/>
      <c r="K49" s="134"/>
      <c r="L49" s="134"/>
      <c r="M49" s="134"/>
    </row>
    <row r="50" spans="1:13" s="19" customFormat="1" ht="17.25" customHeight="1" x14ac:dyDescent="0.25">
      <c r="A50" s="97" t="s">
        <v>63</v>
      </c>
      <c r="B50" s="20">
        <f t="shared" si="10"/>
        <v>83</v>
      </c>
      <c r="C50" s="20">
        <f t="shared" si="9"/>
        <v>21</v>
      </c>
      <c r="D50" s="20">
        <f t="shared" si="9"/>
        <v>25</v>
      </c>
      <c r="E50" s="20">
        <f t="shared" si="9"/>
        <v>37</v>
      </c>
      <c r="F50" s="20"/>
      <c r="G50" s="20"/>
      <c r="H50" s="20"/>
      <c r="I50" s="134">
        <f t="shared" si="11"/>
        <v>1561.6</v>
      </c>
      <c r="J50" s="134"/>
      <c r="K50" s="134"/>
      <c r="L50" s="134"/>
      <c r="M50" s="134"/>
    </row>
    <row r="51" spans="1:13" s="19" customFormat="1" ht="17.25" customHeight="1" x14ac:dyDescent="0.25">
      <c r="A51" s="97" t="s">
        <v>64</v>
      </c>
      <c r="B51" s="20">
        <f t="shared" si="10"/>
        <v>59</v>
      </c>
      <c r="C51" s="20">
        <f t="shared" si="9"/>
        <v>7</v>
      </c>
      <c r="D51" s="20">
        <f t="shared" si="9"/>
        <v>14</v>
      </c>
      <c r="E51" s="20">
        <f t="shared" si="9"/>
        <v>38</v>
      </c>
      <c r="F51" s="20"/>
      <c r="G51" s="20"/>
      <c r="H51" s="20"/>
      <c r="I51" s="134">
        <f t="shared" si="11"/>
        <v>1136.0999999999999</v>
      </c>
      <c r="J51" s="134"/>
      <c r="K51" s="134"/>
      <c r="L51" s="135"/>
      <c r="M51" s="135"/>
    </row>
    <row r="52" spans="1:13" s="145" customFormat="1" ht="17.25" customHeight="1" x14ac:dyDescent="0.25">
      <c r="A52" s="150" t="s">
        <v>151</v>
      </c>
      <c r="B52" s="154">
        <f>SUM(B53:B61)</f>
        <v>743</v>
      </c>
      <c r="C52" s="154">
        <f>SUM(C53:C61)</f>
        <v>163</v>
      </c>
      <c r="D52" s="154">
        <f>SUM(D53:D61)</f>
        <v>150</v>
      </c>
      <c r="E52" s="154">
        <f>SUM(E53:E61)</f>
        <v>430</v>
      </c>
      <c r="F52" s="154"/>
      <c r="G52" s="154"/>
      <c r="H52" s="154"/>
      <c r="I52" s="149">
        <f>SUM(I53:I61)</f>
        <v>19268.300000000003</v>
      </c>
      <c r="J52" s="152"/>
      <c r="K52" s="152"/>
      <c r="L52" s="153"/>
      <c r="M52" s="153"/>
    </row>
    <row r="53" spans="1:13" s="19" customFormat="1" ht="18" customHeight="1" x14ac:dyDescent="0.25">
      <c r="A53" s="97" t="s">
        <v>6</v>
      </c>
      <c r="B53" s="20">
        <f t="shared" ref="B53:B61" si="12">C53+D53+E53</f>
        <v>603</v>
      </c>
      <c r="C53" s="192">
        <v>133</v>
      </c>
      <c r="D53" s="192">
        <v>112</v>
      </c>
      <c r="E53" s="192">
        <v>358</v>
      </c>
      <c r="F53" s="20">
        <v>675</v>
      </c>
      <c r="G53" s="20">
        <v>2.5</v>
      </c>
      <c r="H53" s="20">
        <v>1.28</v>
      </c>
      <c r="I53" s="134">
        <f>ROUND((B53*F53*G53*H53)*12/1000,1)+1.4</f>
        <v>15631.199999999999</v>
      </c>
      <c r="J53" s="142"/>
      <c r="K53" s="142"/>
      <c r="L53" s="134"/>
      <c r="M53" s="134"/>
    </row>
    <row r="54" spans="1:13" s="19" customFormat="1" ht="18" customHeight="1" x14ac:dyDescent="0.25">
      <c r="A54" s="97" t="s">
        <v>58</v>
      </c>
      <c r="B54" s="20">
        <f t="shared" si="12"/>
        <v>42</v>
      </c>
      <c r="C54" s="192">
        <v>10</v>
      </c>
      <c r="D54" s="192">
        <v>13</v>
      </c>
      <c r="E54" s="192">
        <v>19</v>
      </c>
      <c r="F54" s="20">
        <v>675</v>
      </c>
      <c r="G54" s="20">
        <v>2.5</v>
      </c>
      <c r="H54" s="20">
        <v>1.28</v>
      </c>
      <c r="I54" s="134">
        <f>ROUND((B54*F54*G54*H54)*12/1000,1)</f>
        <v>1088.5999999999999</v>
      </c>
      <c r="J54" s="142"/>
      <c r="K54" s="142"/>
      <c r="L54" s="134"/>
      <c r="M54" s="134"/>
    </row>
    <row r="55" spans="1:13" s="19" customFormat="1" ht="18" customHeight="1" x14ac:dyDescent="0.25">
      <c r="A55" s="97" t="s">
        <v>55</v>
      </c>
      <c r="B55" s="20">
        <f t="shared" si="12"/>
        <v>4</v>
      </c>
      <c r="C55" s="192">
        <v>1</v>
      </c>
      <c r="D55" s="192"/>
      <c r="E55" s="192">
        <v>3</v>
      </c>
      <c r="F55" s="20">
        <v>675</v>
      </c>
      <c r="G55" s="20">
        <v>2.5</v>
      </c>
      <c r="H55" s="20">
        <v>1.28</v>
      </c>
      <c r="I55" s="134">
        <f t="shared" ref="I55:I61" si="13">ROUND((B55*F55*G55*H55)*12/1000,1)</f>
        <v>103.7</v>
      </c>
      <c r="J55" s="142"/>
      <c r="K55" s="142"/>
      <c r="L55" s="134"/>
      <c r="M55" s="134"/>
    </row>
    <row r="56" spans="1:13" s="19" customFormat="1" ht="18" customHeight="1" x14ac:dyDescent="0.25">
      <c r="A56" s="97" t="s">
        <v>60</v>
      </c>
      <c r="B56" s="20">
        <f t="shared" si="12"/>
        <v>4</v>
      </c>
      <c r="C56" s="192">
        <v>1</v>
      </c>
      <c r="D56" s="192">
        <v>2</v>
      </c>
      <c r="E56" s="192">
        <v>1</v>
      </c>
      <c r="F56" s="20">
        <v>675</v>
      </c>
      <c r="G56" s="20">
        <v>2.7</v>
      </c>
      <c r="H56" s="20">
        <v>1.28</v>
      </c>
      <c r="I56" s="134">
        <f t="shared" si="13"/>
        <v>112</v>
      </c>
      <c r="J56" s="142"/>
      <c r="K56" s="142"/>
      <c r="L56" s="134"/>
      <c r="M56" s="134"/>
    </row>
    <row r="57" spans="1:13" s="19" customFormat="1" ht="18" customHeight="1" x14ac:dyDescent="0.25">
      <c r="A57" s="97" t="s">
        <v>57</v>
      </c>
      <c r="B57" s="20">
        <f t="shared" si="12"/>
        <v>12</v>
      </c>
      <c r="C57" s="192">
        <v>4</v>
      </c>
      <c r="D57" s="192">
        <v>2</v>
      </c>
      <c r="E57" s="192">
        <v>6</v>
      </c>
      <c r="F57" s="20">
        <v>675</v>
      </c>
      <c r="G57" s="20">
        <v>2.5</v>
      </c>
      <c r="H57" s="20">
        <v>1.28</v>
      </c>
      <c r="I57" s="134">
        <f t="shared" si="13"/>
        <v>311</v>
      </c>
      <c r="J57" s="142"/>
      <c r="K57" s="142"/>
      <c r="L57" s="134"/>
      <c r="M57" s="134"/>
    </row>
    <row r="58" spans="1:13" s="19" customFormat="1" ht="18" customHeight="1" x14ac:dyDescent="0.25">
      <c r="A58" s="97" t="s">
        <v>61</v>
      </c>
      <c r="B58" s="20">
        <f t="shared" si="12"/>
        <v>26</v>
      </c>
      <c r="C58" s="192"/>
      <c r="D58" s="192">
        <v>13</v>
      </c>
      <c r="E58" s="192">
        <v>13</v>
      </c>
      <c r="F58" s="20">
        <v>675</v>
      </c>
      <c r="G58" s="20">
        <v>2.5</v>
      </c>
      <c r="H58" s="20">
        <v>1.28</v>
      </c>
      <c r="I58" s="134">
        <f t="shared" si="13"/>
        <v>673.9</v>
      </c>
      <c r="J58" s="142"/>
      <c r="K58" s="142"/>
      <c r="L58" s="134"/>
      <c r="M58" s="134"/>
    </row>
    <row r="59" spans="1:13" s="19" customFormat="1" ht="18" customHeight="1" x14ac:dyDescent="0.25">
      <c r="A59" s="97" t="s">
        <v>62</v>
      </c>
      <c r="B59" s="20">
        <f t="shared" si="12"/>
        <v>10</v>
      </c>
      <c r="C59" s="192">
        <v>1</v>
      </c>
      <c r="D59" s="192"/>
      <c r="E59" s="192">
        <v>9</v>
      </c>
      <c r="F59" s="20">
        <v>675</v>
      </c>
      <c r="G59" s="20">
        <v>2.5</v>
      </c>
      <c r="H59" s="20">
        <v>1.28</v>
      </c>
      <c r="I59" s="134">
        <f t="shared" si="13"/>
        <v>259.2</v>
      </c>
      <c r="J59" s="142"/>
      <c r="K59" s="142"/>
      <c r="L59" s="134"/>
      <c r="M59" s="134"/>
    </row>
    <row r="60" spans="1:13" s="19" customFormat="1" ht="18" customHeight="1" x14ac:dyDescent="0.25">
      <c r="A60" s="97" t="s">
        <v>63</v>
      </c>
      <c r="B60" s="20">
        <f t="shared" si="12"/>
        <v>23</v>
      </c>
      <c r="C60" s="192">
        <v>12</v>
      </c>
      <c r="D60" s="192">
        <v>4</v>
      </c>
      <c r="E60" s="192">
        <v>7</v>
      </c>
      <c r="F60" s="20">
        <v>675</v>
      </c>
      <c r="G60" s="20">
        <v>2.5</v>
      </c>
      <c r="H60" s="20">
        <v>1.28</v>
      </c>
      <c r="I60" s="134">
        <f t="shared" si="13"/>
        <v>596.20000000000005</v>
      </c>
      <c r="J60" s="142"/>
      <c r="K60" s="142"/>
      <c r="L60" s="134"/>
      <c r="M60" s="134"/>
    </row>
    <row r="61" spans="1:13" s="19" customFormat="1" x14ac:dyDescent="0.25">
      <c r="A61" s="97" t="s">
        <v>64</v>
      </c>
      <c r="B61" s="20">
        <f t="shared" si="12"/>
        <v>19</v>
      </c>
      <c r="C61" s="192">
        <v>1</v>
      </c>
      <c r="D61" s="192">
        <v>4</v>
      </c>
      <c r="E61" s="192">
        <v>14</v>
      </c>
      <c r="F61" s="20">
        <v>675</v>
      </c>
      <c r="G61" s="20">
        <v>2.5</v>
      </c>
      <c r="H61" s="20">
        <v>1.28</v>
      </c>
      <c r="I61" s="134">
        <f t="shared" si="13"/>
        <v>492.5</v>
      </c>
      <c r="J61" s="142"/>
      <c r="K61" s="142"/>
      <c r="L61" s="134"/>
      <c r="M61" s="134"/>
    </row>
    <row r="62" spans="1:13" s="145" customFormat="1" x14ac:dyDescent="0.25">
      <c r="A62" s="150" t="s">
        <v>152</v>
      </c>
      <c r="B62" s="154">
        <f>SUM(B63:B71)</f>
        <v>719</v>
      </c>
      <c r="C62" s="154">
        <f>SUM(C63:C71)</f>
        <v>225</v>
      </c>
      <c r="D62" s="154">
        <f>SUM(D63:D71)</f>
        <v>124</v>
      </c>
      <c r="E62" s="154">
        <f>SUM(E63:E71)</f>
        <v>370</v>
      </c>
      <c r="F62" s="154"/>
      <c r="G62" s="154"/>
      <c r="H62" s="154"/>
      <c r="I62" s="149">
        <f>SUM(I63:I71)</f>
        <v>11596.8</v>
      </c>
      <c r="J62" s="152"/>
      <c r="K62" s="152"/>
      <c r="L62" s="153"/>
      <c r="M62" s="153"/>
    </row>
    <row r="63" spans="1:13" s="19" customFormat="1" x14ac:dyDescent="0.25">
      <c r="A63" s="97" t="s">
        <v>6</v>
      </c>
      <c r="B63" s="20">
        <f>C63+D63+E63</f>
        <v>336</v>
      </c>
      <c r="C63" s="192">
        <v>138</v>
      </c>
      <c r="D63" s="192">
        <v>49</v>
      </c>
      <c r="E63" s="192">
        <v>149</v>
      </c>
      <c r="F63" s="20">
        <v>419</v>
      </c>
      <c r="G63" s="20">
        <v>2.5</v>
      </c>
      <c r="H63" s="20">
        <v>1.28</v>
      </c>
      <c r="I63" s="134">
        <f>ROUND((B63*F63*G63*H63)*12/1000,1)</f>
        <v>5406.1</v>
      </c>
      <c r="J63" s="142"/>
      <c r="K63" s="142"/>
      <c r="L63" s="134"/>
      <c r="M63" s="134"/>
    </row>
    <row r="64" spans="1:13" s="19" customFormat="1" x14ac:dyDescent="0.25">
      <c r="A64" s="97" t="s">
        <v>58</v>
      </c>
      <c r="B64" s="20">
        <f t="shared" ref="B64:B71" si="14">C64+D64+E64</f>
        <v>81</v>
      </c>
      <c r="C64" s="192">
        <v>21</v>
      </c>
      <c r="D64" s="192">
        <v>13</v>
      </c>
      <c r="E64" s="192">
        <v>47</v>
      </c>
      <c r="F64" s="20">
        <v>419</v>
      </c>
      <c r="G64" s="20">
        <v>2.5</v>
      </c>
      <c r="H64" s="20">
        <v>1.28</v>
      </c>
      <c r="I64" s="134">
        <f t="shared" ref="I64:I71" si="15">ROUND((B64*F64*G64*H64)*12/1000,1)</f>
        <v>1303.3</v>
      </c>
      <c r="J64" s="142"/>
      <c r="K64" s="142"/>
      <c r="L64" s="134"/>
      <c r="M64" s="134"/>
    </row>
    <row r="65" spans="1:13" s="19" customFormat="1" x14ac:dyDescent="0.25">
      <c r="A65" s="97" t="s">
        <v>55</v>
      </c>
      <c r="B65" s="20">
        <f t="shared" si="14"/>
        <v>67</v>
      </c>
      <c r="C65" s="192">
        <v>21</v>
      </c>
      <c r="D65" s="192">
        <v>12</v>
      </c>
      <c r="E65" s="192">
        <v>34</v>
      </c>
      <c r="F65" s="20">
        <v>419</v>
      </c>
      <c r="G65" s="20">
        <v>2.5</v>
      </c>
      <c r="H65" s="20">
        <v>1.28</v>
      </c>
      <c r="I65" s="134">
        <f t="shared" si="15"/>
        <v>1078</v>
      </c>
      <c r="J65" s="142"/>
      <c r="K65" s="142"/>
      <c r="L65" s="134"/>
      <c r="M65" s="134"/>
    </row>
    <row r="66" spans="1:13" s="19" customFormat="1" x14ac:dyDescent="0.25">
      <c r="A66" s="97" t="s">
        <v>60</v>
      </c>
      <c r="B66" s="20">
        <f t="shared" si="14"/>
        <v>22</v>
      </c>
      <c r="C66" s="192">
        <v>1</v>
      </c>
      <c r="D66" s="192">
        <v>1</v>
      </c>
      <c r="E66" s="192">
        <v>20</v>
      </c>
      <c r="F66" s="20">
        <v>419</v>
      </c>
      <c r="G66" s="20">
        <v>2.7</v>
      </c>
      <c r="H66" s="20">
        <v>1.28</v>
      </c>
      <c r="I66" s="134">
        <f t="shared" si="15"/>
        <v>382.3</v>
      </c>
      <c r="J66" s="142"/>
      <c r="K66" s="142"/>
      <c r="L66" s="134"/>
      <c r="M66" s="134"/>
    </row>
    <row r="67" spans="1:13" s="19" customFormat="1" x14ac:dyDescent="0.25">
      <c r="A67" s="97" t="s">
        <v>57</v>
      </c>
      <c r="B67" s="20">
        <f t="shared" si="14"/>
        <v>26</v>
      </c>
      <c r="C67" s="192">
        <v>10</v>
      </c>
      <c r="D67" s="192">
        <v>4</v>
      </c>
      <c r="E67" s="192">
        <v>12</v>
      </c>
      <c r="F67" s="20">
        <v>419</v>
      </c>
      <c r="G67" s="20">
        <v>2.5</v>
      </c>
      <c r="H67" s="20">
        <v>1.28</v>
      </c>
      <c r="I67" s="134">
        <f t="shared" si="15"/>
        <v>418.3</v>
      </c>
      <c r="J67" s="142"/>
      <c r="K67" s="142"/>
      <c r="L67" s="134"/>
      <c r="M67" s="134"/>
    </row>
    <row r="68" spans="1:13" s="19" customFormat="1" x14ac:dyDescent="0.25">
      <c r="A68" s="97" t="s">
        <v>61</v>
      </c>
      <c r="B68" s="20">
        <f t="shared" si="14"/>
        <v>50</v>
      </c>
      <c r="C68" s="192">
        <v>14</v>
      </c>
      <c r="D68" s="192">
        <v>9</v>
      </c>
      <c r="E68" s="192">
        <v>27</v>
      </c>
      <c r="F68" s="20">
        <v>419</v>
      </c>
      <c r="G68" s="20">
        <v>2.5</v>
      </c>
      <c r="H68" s="20">
        <v>1.28</v>
      </c>
      <c r="I68" s="134">
        <f t="shared" si="15"/>
        <v>804.5</v>
      </c>
      <c r="J68" s="142"/>
      <c r="K68" s="142"/>
      <c r="L68" s="134"/>
      <c r="M68" s="134"/>
    </row>
    <row r="69" spans="1:13" s="19" customFormat="1" x14ac:dyDescent="0.25">
      <c r="A69" s="97" t="s">
        <v>62</v>
      </c>
      <c r="B69" s="20">
        <f t="shared" si="14"/>
        <v>37</v>
      </c>
      <c r="C69" s="192">
        <v>5</v>
      </c>
      <c r="D69" s="192">
        <v>5</v>
      </c>
      <c r="E69" s="192">
        <v>27</v>
      </c>
      <c r="F69" s="20">
        <v>419</v>
      </c>
      <c r="G69" s="20">
        <v>2.5</v>
      </c>
      <c r="H69" s="20">
        <v>1.28</v>
      </c>
      <c r="I69" s="134">
        <f t="shared" si="15"/>
        <v>595.29999999999995</v>
      </c>
      <c r="J69" s="142"/>
      <c r="K69" s="142"/>
      <c r="L69" s="134"/>
      <c r="M69" s="134"/>
    </row>
    <row r="70" spans="1:13" s="19" customFormat="1" x14ac:dyDescent="0.25">
      <c r="A70" s="97" t="s">
        <v>63</v>
      </c>
      <c r="B70" s="20">
        <f t="shared" si="14"/>
        <v>60</v>
      </c>
      <c r="C70" s="192">
        <v>9</v>
      </c>
      <c r="D70" s="192">
        <v>21</v>
      </c>
      <c r="E70" s="192">
        <v>30</v>
      </c>
      <c r="F70" s="20">
        <v>419</v>
      </c>
      <c r="G70" s="20">
        <v>2.5</v>
      </c>
      <c r="H70" s="20">
        <v>1.28</v>
      </c>
      <c r="I70" s="134">
        <f t="shared" si="15"/>
        <v>965.4</v>
      </c>
      <c r="J70" s="142"/>
      <c r="K70" s="142"/>
      <c r="L70" s="134"/>
      <c r="M70" s="134"/>
    </row>
    <row r="71" spans="1:13" s="19" customFormat="1" x14ac:dyDescent="0.25">
      <c r="A71" s="97" t="s">
        <v>64</v>
      </c>
      <c r="B71" s="20">
        <f t="shared" si="14"/>
        <v>40</v>
      </c>
      <c r="C71" s="192">
        <v>6</v>
      </c>
      <c r="D71" s="192">
        <v>10</v>
      </c>
      <c r="E71" s="192">
        <v>24</v>
      </c>
      <c r="F71" s="20">
        <v>419</v>
      </c>
      <c r="G71" s="20">
        <v>2.5</v>
      </c>
      <c r="H71" s="20">
        <v>1.28</v>
      </c>
      <c r="I71" s="134">
        <f t="shared" si="15"/>
        <v>643.6</v>
      </c>
      <c r="J71" s="142"/>
      <c r="K71" s="142"/>
      <c r="L71" s="134"/>
      <c r="M71" s="134"/>
    </row>
    <row r="72" spans="1:13" s="19" customFormat="1" ht="18.75" customHeight="1" x14ac:dyDescent="0.25">
      <c r="A72" s="98" t="s">
        <v>153</v>
      </c>
      <c r="B72" s="20" t="s">
        <v>139</v>
      </c>
      <c r="C72" s="20"/>
      <c r="D72" s="20"/>
      <c r="E72" s="20"/>
      <c r="F72" s="20" t="s">
        <v>154</v>
      </c>
      <c r="G72" s="20" t="s">
        <v>149</v>
      </c>
      <c r="H72" s="20" t="s">
        <v>144</v>
      </c>
      <c r="I72" s="134"/>
      <c r="J72" s="142"/>
      <c r="K72" s="142"/>
      <c r="L72" s="135"/>
      <c r="M72" s="135"/>
    </row>
    <row r="73" spans="1:13" s="145" customFormat="1" ht="47.25" x14ac:dyDescent="0.25">
      <c r="A73" s="150" t="s">
        <v>155</v>
      </c>
      <c r="B73" s="154">
        <f>SUM(B74:B82)</f>
        <v>16</v>
      </c>
      <c r="C73" s="154">
        <f>SUM(C74:C82)</f>
        <v>3</v>
      </c>
      <c r="D73" s="154">
        <f>SUM(D74:D82)</f>
        <v>1</v>
      </c>
      <c r="E73" s="154">
        <f>SUM(E74:E82)</f>
        <v>12</v>
      </c>
      <c r="F73" s="154"/>
      <c r="G73" s="154"/>
      <c r="H73" s="154"/>
      <c r="I73" s="149">
        <f>SUM(I74:I82)</f>
        <v>552.9</v>
      </c>
      <c r="J73" s="152"/>
      <c r="K73" s="152"/>
      <c r="L73" s="153"/>
      <c r="M73" s="153"/>
    </row>
    <row r="74" spans="1:13" s="19" customFormat="1" x14ac:dyDescent="0.25">
      <c r="A74" s="97" t="s">
        <v>6</v>
      </c>
      <c r="B74" s="20">
        <f>C74+D74+E74</f>
        <v>0</v>
      </c>
      <c r="C74" s="192"/>
      <c r="D74" s="192"/>
      <c r="E74" s="192"/>
      <c r="F74" s="20">
        <v>900</v>
      </c>
      <c r="G74" s="20">
        <v>2.5</v>
      </c>
      <c r="H74" s="20">
        <v>1.28</v>
      </c>
      <c r="I74" s="134">
        <f>ROUND((B74*F74*G74*H74)*12/1000,1)</f>
        <v>0</v>
      </c>
      <c r="J74" s="142"/>
      <c r="K74" s="142"/>
      <c r="L74" s="134"/>
      <c r="M74" s="134"/>
    </row>
    <row r="75" spans="1:13" s="19" customFormat="1" ht="15.75" customHeight="1" x14ac:dyDescent="0.25">
      <c r="A75" s="97" t="s">
        <v>58</v>
      </c>
      <c r="B75" s="20">
        <f t="shared" ref="B75:B82" si="16">C75+D75+E75</f>
        <v>7</v>
      </c>
      <c r="C75" s="192">
        <v>2</v>
      </c>
      <c r="D75" s="192"/>
      <c r="E75" s="192">
        <v>5</v>
      </c>
      <c r="F75" s="20">
        <v>900</v>
      </c>
      <c r="G75" s="20">
        <v>2.5</v>
      </c>
      <c r="H75" s="20">
        <v>1.28</v>
      </c>
      <c r="I75" s="134">
        <f t="shared" ref="I75:I82" si="17">ROUND((B75*F75*G75*H75)*12/1000,1)</f>
        <v>241.9</v>
      </c>
      <c r="J75" s="142"/>
      <c r="K75" s="142"/>
      <c r="L75" s="134"/>
      <c r="M75" s="134"/>
    </row>
    <row r="76" spans="1:13" s="19" customFormat="1" ht="15.75" customHeight="1" x14ac:dyDescent="0.25">
      <c r="A76" s="97" t="s">
        <v>55</v>
      </c>
      <c r="B76" s="20">
        <f t="shared" si="16"/>
        <v>2</v>
      </c>
      <c r="C76" s="192"/>
      <c r="D76" s="192"/>
      <c r="E76" s="192">
        <v>2</v>
      </c>
      <c r="F76" s="20">
        <v>900</v>
      </c>
      <c r="G76" s="20">
        <v>2.5</v>
      </c>
      <c r="H76" s="20">
        <v>1.28</v>
      </c>
      <c r="I76" s="134">
        <f t="shared" si="17"/>
        <v>69.099999999999994</v>
      </c>
      <c r="J76" s="142"/>
      <c r="K76" s="142"/>
      <c r="L76" s="134"/>
      <c r="M76" s="134"/>
    </row>
    <row r="77" spans="1:13" s="19" customFormat="1" ht="15.75" customHeight="1" x14ac:dyDescent="0.25">
      <c r="A77" s="97" t="s">
        <v>60</v>
      </c>
      <c r="B77" s="20">
        <f t="shared" si="16"/>
        <v>0</v>
      </c>
      <c r="C77" s="192"/>
      <c r="D77" s="192"/>
      <c r="E77" s="192"/>
      <c r="F77" s="20">
        <v>900</v>
      </c>
      <c r="G77" s="20">
        <v>2.7</v>
      </c>
      <c r="H77" s="20">
        <v>1.28</v>
      </c>
      <c r="I77" s="134">
        <f t="shared" si="17"/>
        <v>0</v>
      </c>
      <c r="J77" s="142"/>
      <c r="K77" s="142"/>
      <c r="L77" s="134"/>
      <c r="M77" s="134"/>
    </row>
    <row r="78" spans="1:13" s="19" customFormat="1" ht="15.75" customHeight="1" x14ac:dyDescent="0.25">
      <c r="A78" s="97" t="s">
        <v>57</v>
      </c>
      <c r="B78" s="20">
        <f t="shared" si="16"/>
        <v>4</v>
      </c>
      <c r="C78" s="192">
        <v>1</v>
      </c>
      <c r="D78" s="192"/>
      <c r="E78" s="192">
        <v>3</v>
      </c>
      <c r="F78" s="20">
        <v>900</v>
      </c>
      <c r="G78" s="20">
        <v>2.5</v>
      </c>
      <c r="H78" s="20">
        <v>1.28</v>
      </c>
      <c r="I78" s="134">
        <f t="shared" si="17"/>
        <v>138.19999999999999</v>
      </c>
      <c r="J78" s="142"/>
      <c r="K78" s="142"/>
      <c r="L78" s="134"/>
      <c r="M78" s="134"/>
    </row>
    <row r="79" spans="1:13" s="19" customFormat="1" ht="15.75" customHeight="1" x14ac:dyDescent="0.25">
      <c r="A79" s="97" t="s">
        <v>61</v>
      </c>
      <c r="B79" s="20">
        <f t="shared" si="16"/>
        <v>2</v>
      </c>
      <c r="C79" s="192"/>
      <c r="D79" s="192">
        <v>1</v>
      </c>
      <c r="E79" s="192">
        <v>1</v>
      </c>
      <c r="F79" s="20">
        <v>900</v>
      </c>
      <c r="G79" s="20">
        <v>2.5</v>
      </c>
      <c r="H79" s="20">
        <v>1.28</v>
      </c>
      <c r="I79" s="134">
        <f t="shared" si="17"/>
        <v>69.099999999999994</v>
      </c>
      <c r="J79" s="142"/>
      <c r="K79" s="142"/>
      <c r="L79" s="134"/>
      <c r="M79" s="134"/>
    </row>
    <row r="80" spans="1:13" s="19" customFormat="1" ht="15.75" customHeight="1" x14ac:dyDescent="0.25">
      <c r="A80" s="97" t="s">
        <v>62</v>
      </c>
      <c r="B80" s="20">
        <f t="shared" si="16"/>
        <v>0</v>
      </c>
      <c r="C80" s="192"/>
      <c r="D80" s="192"/>
      <c r="E80" s="192"/>
      <c r="F80" s="20">
        <v>900</v>
      </c>
      <c r="G80" s="20">
        <v>2.5</v>
      </c>
      <c r="H80" s="20">
        <v>1.28</v>
      </c>
      <c r="I80" s="134">
        <f t="shared" si="17"/>
        <v>0</v>
      </c>
      <c r="J80" s="142"/>
      <c r="K80" s="142"/>
      <c r="L80" s="134"/>
      <c r="M80" s="134"/>
    </row>
    <row r="81" spans="1:13" s="19" customFormat="1" ht="15.75" customHeight="1" x14ac:dyDescent="0.25">
      <c r="A81" s="97" t="s">
        <v>63</v>
      </c>
      <c r="B81" s="20">
        <f t="shared" si="16"/>
        <v>0</v>
      </c>
      <c r="C81" s="192"/>
      <c r="D81" s="192"/>
      <c r="E81" s="192"/>
      <c r="F81" s="20">
        <v>900</v>
      </c>
      <c r="G81" s="20">
        <v>2.5</v>
      </c>
      <c r="H81" s="20">
        <v>1.28</v>
      </c>
      <c r="I81" s="134">
        <f t="shared" si="17"/>
        <v>0</v>
      </c>
      <c r="J81" s="142"/>
      <c r="K81" s="142"/>
      <c r="L81" s="134"/>
      <c r="M81" s="134"/>
    </row>
    <row r="82" spans="1:13" s="19" customFormat="1" ht="15.75" customHeight="1" x14ac:dyDescent="0.25">
      <c r="A82" s="97" t="s">
        <v>64</v>
      </c>
      <c r="B82" s="20">
        <f t="shared" si="16"/>
        <v>1</v>
      </c>
      <c r="C82" s="192"/>
      <c r="D82" s="192"/>
      <c r="E82" s="192">
        <v>1</v>
      </c>
      <c r="F82" s="20">
        <v>900</v>
      </c>
      <c r="G82" s="20">
        <v>2.5</v>
      </c>
      <c r="H82" s="20">
        <v>1.28</v>
      </c>
      <c r="I82" s="134">
        <f t="shared" si="17"/>
        <v>34.6</v>
      </c>
      <c r="J82" s="142"/>
      <c r="K82" s="142"/>
      <c r="L82" s="134"/>
      <c r="M82" s="134"/>
    </row>
    <row r="83" spans="1:13" s="19" customFormat="1" ht="15.75" customHeight="1" x14ac:dyDescent="0.25">
      <c r="A83" s="98" t="s">
        <v>156</v>
      </c>
      <c r="B83" s="20" t="s">
        <v>139</v>
      </c>
      <c r="C83" s="20"/>
      <c r="D83" s="20"/>
      <c r="E83" s="20"/>
      <c r="F83" s="20" t="s">
        <v>154</v>
      </c>
      <c r="G83" s="20" t="s">
        <v>149</v>
      </c>
      <c r="H83" s="20" t="s">
        <v>144</v>
      </c>
      <c r="I83" s="134"/>
      <c r="J83" s="142"/>
      <c r="K83" s="142"/>
      <c r="L83" s="135"/>
      <c r="M83" s="135"/>
    </row>
    <row r="84" spans="1:13" s="145" customFormat="1" ht="94.5" x14ac:dyDescent="0.25">
      <c r="A84" s="150" t="s">
        <v>157</v>
      </c>
      <c r="B84" s="154">
        <f>SUM(B85:B93)</f>
        <v>18</v>
      </c>
      <c r="C84" s="154">
        <f>SUM(C85:C93)</f>
        <v>1</v>
      </c>
      <c r="D84" s="154">
        <f>SUM(D85:D93)</f>
        <v>11</v>
      </c>
      <c r="E84" s="154">
        <f>SUM(E85:E93)</f>
        <v>6</v>
      </c>
      <c r="F84" s="154"/>
      <c r="G84" s="154"/>
      <c r="H84" s="154"/>
      <c r="I84" s="149">
        <f>SUM(I85:I93)</f>
        <v>412.49999999999994</v>
      </c>
      <c r="J84" s="152"/>
      <c r="K84" s="152"/>
      <c r="L84" s="153"/>
      <c r="M84" s="153"/>
    </row>
    <row r="85" spans="1:13" s="19" customFormat="1" x14ac:dyDescent="0.25">
      <c r="A85" s="96" t="s">
        <v>6</v>
      </c>
      <c r="B85" s="20">
        <f>C85+D85+E85</f>
        <v>14</v>
      </c>
      <c r="C85" s="192">
        <v>1</v>
      </c>
      <c r="D85" s="192">
        <v>11</v>
      </c>
      <c r="E85" s="192">
        <v>2</v>
      </c>
      <c r="F85" s="20">
        <v>597</v>
      </c>
      <c r="G85" s="20">
        <v>2.5</v>
      </c>
      <c r="H85" s="20">
        <v>1.28</v>
      </c>
      <c r="I85" s="134">
        <f>ROUND((B85*F85*G85*H85)*12/1000,1)</f>
        <v>320.89999999999998</v>
      </c>
      <c r="J85" s="142"/>
      <c r="K85" s="142"/>
      <c r="L85" s="134"/>
      <c r="M85" s="134"/>
    </row>
    <row r="86" spans="1:13" s="19" customFormat="1" ht="15.75" customHeight="1" x14ac:dyDescent="0.25">
      <c r="A86" s="96" t="s">
        <v>58</v>
      </c>
      <c r="B86" s="20">
        <f t="shared" ref="B86:B93" si="18">C86+D86+E86</f>
        <v>2</v>
      </c>
      <c r="C86" s="192"/>
      <c r="D86" s="192"/>
      <c r="E86" s="192">
        <v>2</v>
      </c>
      <c r="F86" s="20">
        <v>597</v>
      </c>
      <c r="G86" s="20">
        <v>2.5</v>
      </c>
      <c r="H86" s="20">
        <v>1.28</v>
      </c>
      <c r="I86" s="134">
        <f t="shared" ref="I86:I93" si="19">ROUND((B86*F86*G86*H86)*12/1000,1)</f>
        <v>45.8</v>
      </c>
      <c r="J86" s="142"/>
      <c r="K86" s="142"/>
      <c r="L86" s="134"/>
      <c r="M86" s="134"/>
    </row>
    <row r="87" spans="1:13" s="19" customFormat="1" ht="15.75" customHeight="1" x14ac:dyDescent="0.25">
      <c r="A87" s="96" t="s">
        <v>55</v>
      </c>
      <c r="B87" s="20">
        <f t="shared" si="18"/>
        <v>1</v>
      </c>
      <c r="C87" s="192"/>
      <c r="D87" s="192"/>
      <c r="E87" s="192">
        <v>1</v>
      </c>
      <c r="F87" s="20">
        <v>597</v>
      </c>
      <c r="G87" s="20">
        <v>2.5</v>
      </c>
      <c r="H87" s="20">
        <v>1.28</v>
      </c>
      <c r="I87" s="134">
        <f t="shared" si="19"/>
        <v>22.9</v>
      </c>
      <c r="J87" s="142"/>
      <c r="K87" s="142"/>
      <c r="L87" s="134"/>
      <c r="M87" s="134"/>
    </row>
    <row r="88" spans="1:13" s="19" customFormat="1" ht="15.75" customHeight="1" x14ac:dyDescent="0.25">
      <c r="A88" s="96" t="s">
        <v>60</v>
      </c>
      <c r="B88" s="20">
        <f t="shared" si="18"/>
        <v>0</v>
      </c>
      <c r="C88" s="192"/>
      <c r="D88" s="192"/>
      <c r="E88" s="192"/>
      <c r="F88" s="20">
        <v>597</v>
      </c>
      <c r="G88" s="20">
        <v>2.7</v>
      </c>
      <c r="H88" s="20">
        <v>1.28</v>
      </c>
      <c r="I88" s="134">
        <f t="shared" si="19"/>
        <v>0</v>
      </c>
      <c r="J88" s="142"/>
      <c r="K88" s="142"/>
      <c r="L88" s="134"/>
      <c r="M88" s="134"/>
    </row>
    <row r="89" spans="1:13" s="19" customFormat="1" ht="15.75" customHeight="1" x14ac:dyDescent="0.25">
      <c r="A89" s="96" t="s">
        <v>57</v>
      </c>
      <c r="B89" s="20">
        <f t="shared" si="18"/>
        <v>0</v>
      </c>
      <c r="C89" s="192"/>
      <c r="D89" s="192"/>
      <c r="E89" s="192"/>
      <c r="F89" s="20">
        <v>597</v>
      </c>
      <c r="G89" s="20">
        <v>2.5</v>
      </c>
      <c r="H89" s="20">
        <v>1.28</v>
      </c>
      <c r="I89" s="134">
        <f t="shared" si="19"/>
        <v>0</v>
      </c>
      <c r="J89" s="142"/>
      <c r="K89" s="142"/>
      <c r="L89" s="134"/>
      <c r="M89" s="134"/>
    </row>
    <row r="90" spans="1:13" s="19" customFormat="1" ht="15.75" customHeight="1" x14ac:dyDescent="0.25">
      <c r="A90" s="96" t="s">
        <v>61</v>
      </c>
      <c r="B90" s="20">
        <f t="shared" si="18"/>
        <v>0</v>
      </c>
      <c r="C90" s="192"/>
      <c r="D90" s="192"/>
      <c r="E90" s="192"/>
      <c r="F90" s="20">
        <v>597</v>
      </c>
      <c r="G90" s="20">
        <v>2.5</v>
      </c>
      <c r="H90" s="20">
        <v>1.28</v>
      </c>
      <c r="I90" s="134">
        <f t="shared" si="19"/>
        <v>0</v>
      </c>
      <c r="J90" s="142"/>
      <c r="K90" s="142"/>
      <c r="L90" s="134"/>
      <c r="M90" s="134"/>
    </row>
    <row r="91" spans="1:13" s="19" customFormat="1" ht="15.75" customHeight="1" x14ac:dyDescent="0.25">
      <c r="A91" s="96" t="s">
        <v>62</v>
      </c>
      <c r="B91" s="20">
        <f t="shared" si="18"/>
        <v>1</v>
      </c>
      <c r="C91" s="192"/>
      <c r="D91" s="192"/>
      <c r="E91" s="192">
        <v>1</v>
      </c>
      <c r="F91" s="20">
        <v>597</v>
      </c>
      <c r="G91" s="20">
        <v>2.5</v>
      </c>
      <c r="H91" s="20">
        <v>1.28</v>
      </c>
      <c r="I91" s="134">
        <f t="shared" si="19"/>
        <v>22.9</v>
      </c>
      <c r="J91" s="142"/>
      <c r="K91" s="142"/>
      <c r="L91" s="134"/>
      <c r="M91" s="134"/>
    </row>
    <row r="92" spans="1:13" s="19" customFormat="1" ht="15.75" customHeight="1" x14ac:dyDescent="0.25">
      <c r="A92" s="96" t="s">
        <v>63</v>
      </c>
      <c r="B92" s="20">
        <f t="shared" si="18"/>
        <v>0</v>
      </c>
      <c r="C92" s="192"/>
      <c r="D92" s="192"/>
      <c r="E92" s="192"/>
      <c r="F92" s="20">
        <v>597</v>
      </c>
      <c r="G92" s="20">
        <v>2.5</v>
      </c>
      <c r="H92" s="20">
        <v>1.28</v>
      </c>
      <c r="I92" s="134">
        <f t="shared" si="19"/>
        <v>0</v>
      </c>
      <c r="J92" s="142"/>
      <c r="K92" s="142"/>
      <c r="L92" s="134"/>
      <c r="M92" s="134"/>
    </row>
    <row r="93" spans="1:13" s="19" customFormat="1" ht="15.75" customHeight="1" x14ac:dyDescent="0.25">
      <c r="A93" s="96" t="s">
        <v>64</v>
      </c>
      <c r="B93" s="20">
        <f t="shared" si="18"/>
        <v>0</v>
      </c>
      <c r="C93" s="192"/>
      <c r="D93" s="192"/>
      <c r="E93" s="192"/>
      <c r="F93" s="20">
        <v>597</v>
      </c>
      <c r="G93" s="20">
        <v>2.5</v>
      </c>
      <c r="H93" s="20">
        <v>1.28</v>
      </c>
      <c r="I93" s="134">
        <f t="shared" si="19"/>
        <v>0</v>
      </c>
      <c r="J93" s="142"/>
      <c r="K93" s="142"/>
      <c r="L93" s="134"/>
      <c r="M93" s="134"/>
    </row>
    <row r="94" spans="1:13" s="19" customFormat="1" ht="15.75" customHeight="1" x14ac:dyDescent="0.25">
      <c r="A94" s="98" t="s">
        <v>158</v>
      </c>
      <c r="B94" s="20" t="s">
        <v>139</v>
      </c>
      <c r="C94" s="20"/>
      <c r="D94" s="20"/>
      <c r="E94" s="20"/>
      <c r="F94" s="20" t="s">
        <v>154</v>
      </c>
      <c r="G94" s="20" t="s">
        <v>149</v>
      </c>
      <c r="H94" s="20" t="s">
        <v>144</v>
      </c>
      <c r="I94" s="134"/>
      <c r="J94" s="135"/>
      <c r="K94" s="135"/>
      <c r="L94" s="135"/>
      <c r="M94" s="135"/>
    </row>
    <row r="95" spans="1:13" s="145" customFormat="1" ht="94.5" x14ac:dyDescent="0.25">
      <c r="A95" s="150" t="s">
        <v>159</v>
      </c>
      <c r="B95" s="154">
        <f>SUM(B96:B104)</f>
        <v>45</v>
      </c>
      <c r="C95" s="154">
        <f>SUM(C96:C104)</f>
        <v>11</v>
      </c>
      <c r="D95" s="154">
        <f>SUM(D96:D104)</f>
        <v>9</v>
      </c>
      <c r="E95" s="154">
        <f>SUM(E96:E104)</f>
        <v>25</v>
      </c>
      <c r="F95" s="154"/>
      <c r="G95" s="154"/>
      <c r="H95" s="154"/>
      <c r="I95" s="149">
        <f>SUM(I96:I104)</f>
        <v>516.69999999999993</v>
      </c>
      <c r="J95" s="152"/>
      <c r="K95" s="152"/>
      <c r="L95" s="153"/>
      <c r="M95" s="153"/>
    </row>
    <row r="96" spans="1:13" s="19" customFormat="1" x14ac:dyDescent="0.25">
      <c r="A96" s="96" t="s">
        <v>6</v>
      </c>
      <c r="B96" s="20">
        <f>C96+D96+E96</f>
        <v>34</v>
      </c>
      <c r="C96" s="192">
        <v>10</v>
      </c>
      <c r="D96" s="192">
        <v>9</v>
      </c>
      <c r="E96" s="192">
        <v>15</v>
      </c>
      <c r="F96" s="20">
        <v>299</v>
      </c>
      <c r="G96" s="20">
        <v>2.5</v>
      </c>
      <c r="H96" s="20">
        <v>1.28</v>
      </c>
      <c r="I96" s="134">
        <f>ROUND((B96*F96*G96*H96)*12/1000,1)</f>
        <v>390.4</v>
      </c>
      <c r="J96" s="142"/>
      <c r="K96" s="142"/>
      <c r="L96" s="134"/>
      <c r="M96" s="134"/>
    </row>
    <row r="97" spans="1:13" s="19" customFormat="1" ht="15.75" customHeight="1" x14ac:dyDescent="0.25">
      <c r="A97" s="96" t="s">
        <v>58</v>
      </c>
      <c r="B97" s="20">
        <f t="shared" ref="B97:B104" si="20">C97+D97+E97</f>
        <v>5</v>
      </c>
      <c r="C97" s="192">
        <v>1</v>
      </c>
      <c r="D97" s="192"/>
      <c r="E97" s="192">
        <v>4</v>
      </c>
      <c r="F97" s="20">
        <v>299</v>
      </c>
      <c r="G97" s="20">
        <v>2.5</v>
      </c>
      <c r="H97" s="20">
        <v>1.28</v>
      </c>
      <c r="I97" s="134">
        <f t="shared" ref="I97:I104" si="21">ROUND((B97*F97*G97*H97)*12/1000,1)</f>
        <v>57.4</v>
      </c>
      <c r="J97" s="142"/>
      <c r="K97" s="142"/>
      <c r="L97" s="134"/>
      <c r="M97" s="134"/>
    </row>
    <row r="98" spans="1:13" s="19" customFormat="1" ht="15.75" customHeight="1" x14ac:dyDescent="0.25">
      <c r="A98" s="96" t="s">
        <v>55</v>
      </c>
      <c r="B98" s="20">
        <f t="shared" si="20"/>
        <v>3</v>
      </c>
      <c r="C98" s="192"/>
      <c r="D98" s="192"/>
      <c r="E98" s="192">
        <v>3</v>
      </c>
      <c r="F98" s="20">
        <v>299</v>
      </c>
      <c r="G98" s="20">
        <v>2.5</v>
      </c>
      <c r="H98" s="20">
        <v>1.28</v>
      </c>
      <c r="I98" s="134">
        <f t="shared" si="21"/>
        <v>34.4</v>
      </c>
      <c r="J98" s="142"/>
      <c r="K98" s="142"/>
      <c r="L98" s="134"/>
      <c r="M98" s="134"/>
    </row>
    <row r="99" spans="1:13" s="19" customFormat="1" ht="15.75" customHeight="1" x14ac:dyDescent="0.25">
      <c r="A99" s="96" t="s">
        <v>60</v>
      </c>
      <c r="B99" s="20">
        <f t="shared" si="20"/>
        <v>0</v>
      </c>
      <c r="C99" s="192"/>
      <c r="D99" s="192"/>
      <c r="E99" s="192"/>
      <c r="F99" s="20">
        <v>299</v>
      </c>
      <c r="G99" s="20">
        <v>2.7</v>
      </c>
      <c r="H99" s="20">
        <v>1.28</v>
      </c>
      <c r="I99" s="134">
        <f t="shared" si="21"/>
        <v>0</v>
      </c>
      <c r="J99" s="142"/>
      <c r="K99" s="142"/>
      <c r="L99" s="134"/>
      <c r="M99" s="134"/>
    </row>
    <row r="100" spans="1:13" s="19" customFormat="1" ht="15.75" customHeight="1" x14ac:dyDescent="0.25">
      <c r="A100" s="96" t="s">
        <v>57</v>
      </c>
      <c r="B100" s="20">
        <f t="shared" si="20"/>
        <v>2</v>
      </c>
      <c r="C100" s="192"/>
      <c r="D100" s="192"/>
      <c r="E100" s="192">
        <v>2</v>
      </c>
      <c r="F100" s="20">
        <v>299</v>
      </c>
      <c r="G100" s="20">
        <v>2.5</v>
      </c>
      <c r="H100" s="20">
        <v>1.28</v>
      </c>
      <c r="I100" s="134">
        <f t="shared" si="21"/>
        <v>23</v>
      </c>
      <c r="J100" s="142"/>
      <c r="K100" s="142"/>
      <c r="L100" s="134"/>
      <c r="M100" s="134"/>
    </row>
    <row r="101" spans="1:13" s="19" customFormat="1" ht="15.75" customHeight="1" x14ac:dyDescent="0.25">
      <c r="A101" s="96" t="s">
        <v>61</v>
      </c>
      <c r="B101" s="20">
        <f t="shared" si="20"/>
        <v>1</v>
      </c>
      <c r="C101" s="192"/>
      <c r="D101" s="192"/>
      <c r="E101" s="192">
        <v>1</v>
      </c>
      <c r="F101" s="20">
        <v>299</v>
      </c>
      <c r="G101" s="20">
        <v>2.5</v>
      </c>
      <c r="H101" s="20">
        <v>1.28</v>
      </c>
      <c r="I101" s="134">
        <f t="shared" si="21"/>
        <v>11.5</v>
      </c>
      <c r="J101" s="142"/>
      <c r="K101" s="142"/>
      <c r="L101" s="134"/>
      <c r="M101" s="134"/>
    </row>
    <row r="102" spans="1:13" s="19" customFormat="1" ht="15.75" customHeight="1" x14ac:dyDescent="0.25">
      <c r="A102" s="96" t="s">
        <v>62</v>
      </c>
      <c r="B102" s="20">
        <f t="shared" si="20"/>
        <v>0</v>
      </c>
      <c r="C102" s="192"/>
      <c r="D102" s="192"/>
      <c r="E102" s="192"/>
      <c r="F102" s="20">
        <v>299</v>
      </c>
      <c r="G102" s="20">
        <v>2.5</v>
      </c>
      <c r="H102" s="20">
        <v>1.28</v>
      </c>
      <c r="I102" s="134">
        <f t="shared" si="21"/>
        <v>0</v>
      </c>
      <c r="J102" s="142"/>
      <c r="K102" s="142"/>
      <c r="L102" s="134"/>
      <c r="M102" s="134"/>
    </row>
    <row r="103" spans="1:13" s="19" customFormat="1" ht="15.75" customHeight="1" x14ac:dyDescent="0.25">
      <c r="A103" s="96" t="s">
        <v>63</v>
      </c>
      <c r="B103" s="20">
        <f t="shared" si="20"/>
        <v>0</v>
      </c>
      <c r="C103" s="192"/>
      <c r="D103" s="192"/>
      <c r="E103" s="192"/>
      <c r="F103" s="20">
        <v>299</v>
      </c>
      <c r="G103" s="20">
        <v>2.5</v>
      </c>
      <c r="H103" s="20">
        <v>1.28</v>
      </c>
      <c r="I103" s="134">
        <f t="shared" si="21"/>
        <v>0</v>
      </c>
      <c r="J103" s="142"/>
      <c r="K103" s="142"/>
      <c r="L103" s="134"/>
      <c r="M103" s="134"/>
    </row>
    <row r="104" spans="1:13" s="19" customFormat="1" ht="15.75" customHeight="1" x14ac:dyDescent="0.25">
      <c r="A104" s="96" t="s">
        <v>64</v>
      </c>
      <c r="B104" s="20">
        <f t="shared" si="20"/>
        <v>0</v>
      </c>
      <c r="C104" s="192"/>
      <c r="D104" s="192"/>
      <c r="E104" s="192"/>
      <c r="F104" s="20">
        <v>299</v>
      </c>
      <c r="G104" s="20">
        <v>2.5</v>
      </c>
      <c r="H104" s="20">
        <v>1.28</v>
      </c>
      <c r="I104" s="134">
        <f t="shared" si="21"/>
        <v>0</v>
      </c>
      <c r="J104" s="142"/>
      <c r="K104" s="142"/>
      <c r="L104" s="134"/>
      <c r="M104" s="134"/>
    </row>
    <row r="105" spans="1:13" s="19" customFormat="1" ht="15.75" customHeight="1" x14ac:dyDescent="0.25">
      <c r="A105" s="94" t="s">
        <v>160</v>
      </c>
      <c r="B105" s="20" t="s">
        <v>161</v>
      </c>
      <c r="C105" s="20"/>
      <c r="D105" s="20"/>
      <c r="E105" s="20"/>
      <c r="F105" s="20" t="s">
        <v>162</v>
      </c>
      <c r="G105" s="20" t="s">
        <v>149</v>
      </c>
      <c r="H105" s="20" t="s">
        <v>144</v>
      </c>
      <c r="I105" s="134"/>
      <c r="J105" s="135"/>
      <c r="K105" s="135"/>
      <c r="L105" s="135"/>
      <c r="M105" s="135"/>
    </row>
    <row r="106" spans="1:13" s="145" customFormat="1" ht="63" x14ac:dyDescent="0.25">
      <c r="A106" s="150" t="s">
        <v>163</v>
      </c>
      <c r="B106" s="154"/>
      <c r="C106" s="154"/>
      <c r="D106" s="154"/>
      <c r="E106" s="154"/>
      <c r="F106" s="154"/>
      <c r="G106" s="154"/>
      <c r="H106" s="154"/>
      <c r="I106" s="149">
        <f>I107+I117</f>
        <v>548.1</v>
      </c>
      <c r="J106" s="152"/>
      <c r="K106" s="152"/>
      <c r="L106" s="153"/>
      <c r="M106" s="153"/>
    </row>
    <row r="107" spans="1:13" s="145" customFormat="1" ht="15.75" customHeight="1" x14ac:dyDescent="0.25">
      <c r="A107" s="150" t="s">
        <v>164</v>
      </c>
      <c r="B107" s="154">
        <f>SUM(B108:B116)</f>
        <v>13.5</v>
      </c>
      <c r="C107" s="154">
        <f>SUM(C108:C116)</f>
        <v>0</v>
      </c>
      <c r="D107" s="154">
        <f>SUM(D108:D116)</f>
        <v>0</v>
      </c>
      <c r="E107" s="154">
        <f>SUM(E108:E116)</f>
        <v>13.5</v>
      </c>
      <c r="F107" s="154"/>
      <c r="G107" s="154"/>
      <c r="H107" s="154"/>
      <c r="I107" s="149">
        <f>SUM(I108:I116)</f>
        <v>387.3</v>
      </c>
      <c r="J107" s="152"/>
      <c r="K107" s="152"/>
      <c r="L107" s="146"/>
      <c r="M107" s="146"/>
    </row>
    <row r="108" spans="1:13" s="19" customFormat="1" ht="15.75" customHeight="1" x14ac:dyDescent="0.25">
      <c r="A108" s="96" t="s">
        <v>6</v>
      </c>
      <c r="B108" s="20">
        <f>C108+D108+E108</f>
        <v>0</v>
      </c>
      <c r="C108" s="192"/>
      <c r="D108" s="192"/>
      <c r="E108" s="192"/>
      <c r="F108" s="20">
        <v>747</v>
      </c>
      <c r="G108" s="20">
        <v>2.5</v>
      </c>
      <c r="H108" s="20">
        <v>1.28</v>
      </c>
      <c r="I108" s="134">
        <f>ROUND((B108*F108*G108*H108)*12/1000,1)</f>
        <v>0</v>
      </c>
      <c r="J108" s="142"/>
      <c r="K108" s="142"/>
      <c r="L108" s="134"/>
      <c r="M108" s="134"/>
    </row>
    <row r="109" spans="1:13" s="19" customFormat="1" ht="15.75" customHeight="1" x14ac:dyDescent="0.25">
      <c r="A109" s="96" t="s">
        <v>58</v>
      </c>
      <c r="B109" s="20">
        <f t="shared" ref="B109:B116" si="22">C109+D109+E109</f>
        <v>6</v>
      </c>
      <c r="C109" s="192"/>
      <c r="D109" s="192"/>
      <c r="E109" s="192">
        <v>6</v>
      </c>
      <c r="F109" s="20">
        <v>747</v>
      </c>
      <c r="G109" s="20">
        <v>2.5</v>
      </c>
      <c r="H109" s="20">
        <v>1.28</v>
      </c>
      <c r="I109" s="134">
        <f t="shared" ref="I109:I116" si="23">ROUND((B109*F109*G109*H109)*12/1000,1)</f>
        <v>172.1</v>
      </c>
      <c r="J109" s="142"/>
      <c r="K109" s="142"/>
      <c r="L109" s="134"/>
      <c r="M109" s="134"/>
    </row>
    <row r="110" spans="1:13" s="19" customFormat="1" ht="15.75" customHeight="1" x14ac:dyDescent="0.25">
      <c r="A110" s="96" t="s">
        <v>55</v>
      </c>
      <c r="B110" s="20">
        <f t="shared" si="22"/>
        <v>0.5</v>
      </c>
      <c r="C110" s="192"/>
      <c r="D110" s="192"/>
      <c r="E110" s="192">
        <v>0.5</v>
      </c>
      <c r="F110" s="20">
        <v>747</v>
      </c>
      <c r="G110" s="20">
        <v>2.5</v>
      </c>
      <c r="H110" s="20">
        <v>1.28</v>
      </c>
      <c r="I110" s="134">
        <f t="shared" si="23"/>
        <v>14.3</v>
      </c>
      <c r="J110" s="142"/>
      <c r="K110" s="142"/>
      <c r="L110" s="134"/>
      <c r="M110" s="134"/>
    </row>
    <row r="111" spans="1:13" s="19" customFormat="1" ht="15.75" customHeight="1" x14ac:dyDescent="0.25">
      <c r="A111" s="96" t="s">
        <v>60</v>
      </c>
      <c r="B111" s="20">
        <f t="shared" si="22"/>
        <v>0</v>
      </c>
      <c r="C111" s="192"/>
      <c r="D111" s="192"/>
      <c r="E111" s="192"/>
      <c r="F111" s="20">
        <v>747</v>
      </c>
      <c r="G111" s="20">
        <v>2.7</v>
      </c>
      <c r="H111" s="20">
        <v>1.28</v>
      </c>
      <c r="I111" s="134">
        <f t="shared" si="23"/>
        <v>0</v>
      </c>
      <c r="J111" s="142"/>
      <c r="K111" s="142"/>
      <c r="L111" s="134"/>
      <c r="M111" s="134"/>
    </row>
    <row r="112" spans="1:13" s="19" customFormat="1" ht="15.75" customHeight="1" x14ac:dyDescent="0.25">
      <c r="A112" s="96" t="s">
        <v>57</v>
      </c>
      <c r="B112" s="20">
        <f t="shared" si="22"/>
        <v>0</v>
      </c>
      <c r="C112" s="192"/>
      <c r="D112" s="192"/>
      <c r="E112" s="192"/>
      <c r="F112" s="20">
        <v>747</v>
      </c>
      <c r="G112" s="20">
        <v>2.5</v>
      </c>
      <c r="H112" s="20">
        <v>1.28</v>
      </c>
      <c r="I112" s="134">
        <f t="shared" si="23"/>
        <v>0</v>
      </c>
      <c r="J112" s="142"/>
      <c r="K112" s="142"/>
      <c r="L112" s="134"/>
      <c r="M112" s="134"/>
    </row>
    <row r="113" spans="1:13" s="19" customFormat="1" ht="15.75" customHeight="1" x14ac:dyDescent="0.25">
      <c r="A113" s="96" t="s">
        <v>61</v>
      </c>
      <c r="B113" s="20">
        <f t="shared" si="22"/>
        <v>3</v>
      </c>
      <c r="C113" s="192"/>
      <c r="D113" s="192"/>
      <c r="E113" s="192">
        <v>3</v>
      </c>
      <c r="F113" s="20">
        <v>747</v>
      </c>
      <c r="G113" s="20">
        <v>2.5</v>
      </c>
      <c r="H113" s="20">
        <v>1.28</v>
      </c>
      <c r="I113" s="134">
        <f t="shared" si="23"/>
        <v>86.1</v>
      </c>
      <c r="J113" s="142"/>
      <c r="K113" s="142"/>
      <c r="L113" s="134"/>
      <c r="M113" s="134"/>
    </row>
    <row r="114" spans="1:13" s="19" customFormat="1" ht="15.75" customHeight="1" x14ac:dyDescent="0.25">
      <c r="A114" s="96" t="s">
        <v>62</v>
      </c>
      <c r="B114" s="20">
        <f t="shared" si="22"/>
        <v>0</v>
      </c>
      <c r="C114" s="192"/>
      <c r="D114" s="192"/>
      <c r="E114" s="192"/>
      <c r="F114" s="20">
        <v>747</v>
      </c>
      <c r="G114" s="20">
        <v>2.5</v>
      </c>
      <c r="H114" s="20">
        <v>1.28</v>
      </c>
      <c r="I114" s="134">
        <f t="shared" si="23"/>
        <v>0</v>
      </c>
      <c r="J114" s="142"/>
      <c r="K114" s="142"/>
      <c r="L114" s="134"/>
      <c r="M114" s="134"/>
    </row>
    <row r="115" spans="1:13" s="19" customFormat="1" ht="15.75" customHeight="1" x14ac:dyDescent="0.25">
      <c r="A115" s="96" t="s">
        <v>63</v>
      </c>
      <c r="B115" s="20">
        <f t="shared" si="22"/>
        <v>3</v>
      </c>
      <c r="C115" s="192"/>
      <c r="D115" s="192"/>
      <c r="E115" s="192">
        <v>3</v>
      </c>
      <c r="F115" s="20">
        <v>747</v>
      </c>
      <c r="G115" s="20">
        <v>2.5</v>
      </c>
      <c r="H115" s="20">
        <v>1.28</v>
      </c>
      <c r="I115" s="134">
        <f t="shared" si="23"/>
        <v>86.1</v>
      </c>
      <c r="J115" s="142"/>
      <c r="K115" s="142"/>
      <c r="L115" s="134"/>
      <c r="M115" s="134"/>
    </row>
    <row r="116" spans="1:13" s="19" customFormat="1" ht="15.75" customHeight="1" x14ac:dyDescent="0.25">
      <c r="A116" s="96" t="s">
        <v>64</v>
      </c>
      <c r="B116" s="20">
        <f t="shared" si="22"/>
        <v>1</v>
      </c>
      <c r="C116" s="192"/>
      <c r="D116" s="192"/>
      <c r="E116" s="192">
        <v>1</v>
      </c>
      <c r="F116" s="20">
        <v>747</v>
      </c>
      <c r="G116" s="20">
        <v>2.5</v>
      </c>
      <c r="H116" s="20">
        <v>1.28</v>
      </c>
      <c r="I116" s="134">
        <f t="shared" si="23"/>
        <v>28.7</v>
      </c>
      <c r="J116" s="142"/>
      <c r="K116" s="142"/>
      <c r="L116" s="134"/>
      <c r="M116" s="134"/>
    </row>
    <row r="117" spans="1:13" s="145" customFormat="1" ht="28.5" customHeight="1" x14ac:dyDescent="0.25">
      <c r="A117" s="150" t="s">
        <v>165</v>
      </c>
      <c r="B117" s="154">
        <f>SUM(B118:B126)</f>
        <v>4</v>
      </c>
      <c r="C117" s="154">
        <f>SUM(C118:C126)</f>
        <v>0</v>
      </c>
      <c r="D117" s="154">
        <f>SUM(D118:D126)</f>
        <v>0</v>
      </c>
      <c r="E117" s="154">
        <f>SUM(E118:E126)</f>
        <v>4</v>
      </c>
      <c r="F117" s="154"/>
      <c r="G117" s="154"/>
      <c r="H117" s="154"/>
      <c r="I117" s="149">
        <f>SUM(I118:I126)</f>
        <v>160.80000000000001</v>
      </c>
      <c r="J117" s="152"/>
      <c r="K117" s="152"/>
      <c r="L117" s="153"/>
      <c r="M117" s="153"/>
    </row>
    <row r="118" spans="1:13" s="19" customFormat="1" x14ac:dyDescent="0.25">
      <c r="A118" s="96" t="s">
        <v>6</v>
      </c>
      <c r="B118" s="20">
        <f>C118+D118+E118</f>
        <v>0</v>
      </c>
      <c r="C118" s="192"/>
      <c r="D118" s="192"/>
      <c r="E118" s="192"/>
      <c r="F118" s="20">
        <v>1047</v>
      </c>
      <c r="G118" s="20">
        <v>2.5</v>
      </c>
      <c r="H118" s="20">
        <v>1.28</v>
      </c>
      <c r="I118" s="134">
        <f>ROUND((B118*F118*G118*H118)*12/1000,1)</f>
        <v>0</v>
      </c>
      <c r="J118" s="142"/>
      <c r="K118" s="142"/>
      <c r="L118" s="134"/>
      <c r="M118" s="134"/>
    </row>
    <row r="119" spans="1:13" s="19" customFormat="1" x14ac:dyDescent="0.25">
      <c r="A119" s="96" t="s">
        <v>58</v>
      </c>
      <c r="B119" s="20">
        <f t="shared" ref="B119:B126" si="24">C119+D119+E119</f>
        <v>1</v>
      </c>
      <c r="C119" s="192"/>
      <c r="D119" s="192"/>
      <c r="E119" s="192">
        <v>1</v>
      </c>
      <c r="F119" s="20">
        <v>1047</v>
      </c>
      <c r="G119" s="20">
        <v>2.5</v>
      </c>
      <c r="H119" s="20">
        <v>1.28</v>
      </c>
      <c r="I119" s="134">
        <f t="shared" ref="I119:I126" si="25">ROUND((B119*F119*G119*H119)*12/1000,1)</f>
        <v>40.200000000000003</v>
      </c>
      <c r="J119" s="142"/>
      <c r="K119" s="142"/>
      <c r="L119" s="134"/>
      <c r="M119" s="134"/>
    </row>
    <row r="120" spans="1:13" s="19" customFormat="1" x14ac:dyDescent="0.25">
      <c r="A120" s="96" t="s">
        <v>55</v>
      </c>
      <c r="B120" s="20">
        <f t="shared" si="24"/>
        <v>1</v>
      </c>
      <c r="C120" s="192"/>
      <c r="D120" s="192"/>
      <c r="E120" s="192">
        <v>1</v>
      </c>
      <c r="F120" s="20">
        <v>1047</v>
      </c>
      <c r="G120" s="20">
        <v>2.5</v>
      </c>
      <c r="H120" s="20">
        <v>1.28</v>
      </c>
      <c r="I120" s="134">
        <f t="shared" si="25"/>
        <v>40.200000000000003</v>
      </c>
      <c r="J120" s="142"/>
      <c r="K120" s="142"/>
      <c r="L120" s="134"/>
      <c r="M120" s="134"/>
    </row>
    <row r="121" spans="1:13" s="19" customFormat="1" x14ac:dyDescent="0.25">
      <c r="A121" s="96" t="s">
        <v>60</v>
      </c>
      <c r="B121" s="20">
        <f t="shared" si="24"/>
        <v>0</v>
      </c>
      <c r="C121" s="192"/>
      <c r="D121" s="192"/>
      <c r="E121" s="192"/>
      <c r="F121" s="20">
        <v>1047</v>
      </c>
      <c r="G121" s="20">
        <v>2.7</v>
      </c>
      <c r="H121" s="20">
        <v>1.28</v>
      </c>
      <c r="I121" s="134">
        <f t="shared" si="25"/>
        <v>0</v>
      </c>
      <c r="J121" s="142"/>
      <c r="K121" s="142"/>
      <c r="L121" s="134"/>
      <c r="M121" s="134"/>
    </row>
    <row r="122" spans="1:13" s="19" customFormat="1" x14ac:dyDescent="0.25">
      <c r="A122" s="96" t="s">
        <v>57</v>
      </c>
      <c r="B122" s="20">
        <f t="shared" si="24"/>
        <v>0</v>
      </c>
      <c r="C122" s="192"/>
      <c r="D122" s="192"/>
      <c r="E122" s="192"/>
      <c r="F122" s="20">
        <v>1047</v>
      </c>
      <c r="G122" s="20">
        <v>2.5</v>
      </c>
      <c r="H122" s="20">
        <v>1.28</v>
      </c>
      <c r="I122" s="134">
        <f t="shared" si="25"/>
        <v>0</v>
      </c>
      <c r="J122" s="142"/>
      <c r="K122" s="142"/>
      <c r="L122" s="134"/>
      <c r="M122" s="134"/>
    </row>
    <row r="123" spans="1:13" s="19" customFormat="1" x14ac:dyDescent="0.25">
      <c r="A123" s="96" t="s">
        <v>61</v>
      </c>
      <c r="B123" s="20">
        <f t="shared" si="24"/>
        <v>0</v>
      </c>
      <c r="C123" s="192"/>
      <c r="D123" s="192"/>
      <c r="E123" s="192"/>
      <c r="F123" s="20">
        <v>1047</v>
      </c>
      <c r="G123" s="20">
        <v>2.5</v>
      </c>
      <c r="H123" s="20">
        <v>1.28</v>
      </c>
      <c r="I123" s="134">
        <f t="shared" si="25"/>
        <v>0</v>
      </c>
      <c r="J123" s="142"/>
      <c r="K123" s="142"/>
      <c r="L123" s="134"/>
      <c r="M123" s="134"/>
    </row>
    <row r="124" spans="1:13" s="19" customFormat="1" x14ac:dyDescent="0.25">
      <c r="A124" s="96" t="s">
        <v>62</v>
      </c>
      <c r="B124" s="20">
        <f t="shared" si="24"/>
        <v>0</v>
      </c>
      <c r="C124" s="192"/>
      <c r="D124" s="192"/>
      <c r="E124" s="192"/>
      <c r="F124" s="20">
        <v>1047</v>
      </c>
      <c r="G124" s="20">
        <v>2.5</v>
      </c>
      <c r="H124" s="20">
        <v>1.28</v>
      </c>
      <c r="I124" s="134">
        <f t="shared" si="25"/>
        <v>0</v>
      </c>
      <c r="J124" s="142"/>
      <c r="K124" s="142"/>
      <c r="L124" s="134"/>
      <c r="M124" s="134"/>
    </row>
    <row r="125" spans="1:13" s="19" customFormat="1" x14ac:dyDescent="0.25">
      <c r="A125" s="96" t="s">
        <v>63</v>
      </c>
      <c r="B125" s="20">
        <f t="shared" si="24"/>
        <v>0</v>
      </c>
      <c r="C125" s="192"/>
      <c r="D125" s="192"/>
      <c r="E125" s="192"/>
      <c r="F125" s="20">
        <v>1047</v>
      </c>
      <c r="G125" s="20">
        <v>2.5</v>
      </c>
      <c r="H125" s="20">
        <v>1.28</v>
      </c>
      <c r="I125" s="134">
        <f t="shared" si="25"/>
        <v>0</v>
      </c>
      <c r="J125" s="142"/>
      <c r="K125" s="142"/>
      <c r="L125" s="134"/>
      <c r="M125" s="134"/>
    </row>
    <row r="126" spans="1:13" s="19" customFormat="1" x14ac:dyDescent="0.25">
      <c r="A126" s="96" t="s">
        <v>64</v>
      </c>
      <c r="B126" s="20">
        <f t="shared" si="24"/>
        <v>2</v>
      </c>
      <c r="C126" s="192"/>
      <c r="D126" s="192"/>
      <c r="E126" s="192">
        <v>2</v>
      </c>
      <c r="F126" s="20">
        <v>1047</v>
      </c>
      <c r="G126" s="20">
        <v>2.5</v>
      </c>
      <c r="H126" s="20">
        <v>1.28</v>
      </c>
      <c r="I126" s="134">
        <f t="shared" si="25"/>
        <v>80.400000000000006</v>
      </c>
      <c r="J126" s="142"/>
      <c r="K126" s="142"/>
      <c r="L126" s="134"/>
      <c r="M126" s="134"/>
    </row>
    <row r="127" spans="1:13" s="19" customFormat="1" ht="31.5" x14ac:dyDescent="0.25">
      <c r="A127" s="94" t="s">
        <v>166</v>
      </c>
      <c r="B127" s="20" t="s">
        <v>167</v>
      </c>
      <c r="C127" s="20"/>
      <c r="D127" s="20"/>
      <c r="E127" s="20"/>
      <c r="F127" s="20" t="s">
        <v>168</v>
      </c>
      <c r="G127" s="20" t="s">
        <v>149</v>
      </c>
      <c r="H127" s="20" t="s">
        <v>144</v>
      </c>
      <c r="I127" s="134"/>
      <c r="J127" s="135"/>
      <c r="K127" s="135"/>
      <c r="L127" s="135"/>
      <c r="M127" s="135"/>
    </row>
    <row r="128" spans="1:13" s="145" customFormat="1" ht="63" x14ac:dyDescent="0.25">
      <c r="A128" s="150" t="s">
        <v>163</v>
      </c>
      <c r="B128" s="154"/>
      <c r="C128" s="154">
        <f>C129+C139+C149</f>
        <v>16</v>
      </c>
      <c r="D128" s="154">
        <f>D129+D139+D149</f>
        <v>8</v>
      </c>
      <c r="E128" s="154">
        <f>E129+E139+E149</f>
        <v>2</v>
      </c>
      <c r="F128" s="154"/>
      <c r="G128" s="154"/>
      <c r="H128" s="154"/>
      <c r="I128" s="149">
        <f>I129+I139+I149</f>
        <v>489.70000000000005</v>
      </c>
      <c r="J128" s="152"/>
      <c r="K128" s="152"/>
      <c r="L128" s="155"/>
      <c r="M128" s="155"/>
    </row>
    <row r="129" spans="1:13" s="145" customFormat="1" ht="15.75" customHeight="1" x14ac:dyDescent="0.25">
      <c r="A129" s="150" t="s">
        <v>169</v>
      </c>
      <c r="B129" s="154">
        <f>SUM(B130:B138)</f>
        <v>6</v>
      </c>
      <c r="C129" s="154">
        <f>SUM(C130:C138)</f>
        <v>3</v>
      </c>
      <c r="D129" s="154">
        <f>SUM(D130:D138)</f>
        <v>3</v>
      </c>
      <c r="E129" s="154">
        <f>SUM(E130:E138)</f>
        <v>0</v>
      </c>
      <c r="F129" s="154"/>
      <c r="G129" s="154"/>
      <c r="H129" s="154"/>
      <c r="I129" s="149">
        <f>SUM(I130:I138)</f>
        <v>100.4</v>
      </c>
      <c r="J129" s="152"/>
      <c r="K129" s="152"/>
      <c r="L129" s="155"/>
      <c r="M129" s="155"/>
    </row>
    <row r="130" spans="1:13" s="19" customFormat="1" ht="15.75" customHeight="1" x14ac:dyDescent="0.25">
      <c r="A130" s="96" t="s">
        <v>6</v>
      </c>
      <c r="B130" s="20">
        <f>C130+D130+E130</f>
        <v>0</v>
      </c>
      <c r="C130" s="192"/>
      <c r="D130" s="192"/>
      <c r="E130" s="192"/>
      <c r="F130" s="20">
        <v>436</v>
      </c>
      <c r="G130" s="20">
        <v>2.5</v>
      </c>
      <c r="H130" s="20">
        <v>1.28</v>
      </c>
      <c r="I130" s="134">
        <f>ROUND((B130*F130*G130*H130)*12/1000,1)</f>
        <v>0</v>
      </c>
      <c r="J130" s="142"/>
      <c r="K130" s="142"/>
      <c r="L130" s="135"/>
      <c r="M130" s="135"/>
    </row>
    <row r="131" spans="1:13" s="19" customFormat="1" ht="15.75" customHeight="1" x14ac:dyDescent="0.25">
      <c r="A131" s="96" t="s">
        <v>58</v>
      </c>
      <c r="B131" s="20">
        <f t="shared" ref="B131:B138" si="26">C131+D131+E131</f>
        <v>0</v>
      </c>
      <c r="C131" s="192"/>
      <c r="D131" s="192"/>
      <c r="E131" s="192"/>
      <c r="F131" s="20">
        <v>436</v>
      </c>
      <c r="G131" s="20">
        <v>2.5</v>
      </c>
      <c r="H131" s="20">
        <v>1.28</v>
      </c>
      <c r="I131" s="134">
        <f t="shared" ref="I131:I138" si="27">ROUND((B131*F131*G131*H131)*12/1000,1)</f>
        <v>0</v>
      </c>
      <c r="J131" s="142"/>
      <c r="K131" s="142"/>
      <c r="L131" s="135"/>
      <c r="M131" s="135"/>
    </row>
    <row r="132" spans="1:13" s="19" customFormat="1" ht="15.75" customHeight="1" x14ac:dyDescent="0.25">
      <c r="A132" s="96" t="s">
        <v>55</v>
      </c>
      <c r="B132" s="20">
        <f t="shared" si="26"/>
        <v>0</v>
      </c>
      <c r="C132" s="192"/>
      <c r="D132" s="192"/>
      <c r="E132" s="192"/>
      <c r="F132" s="20">
        <v>436</v>
      </c>
      <c r="G132" s="20">
        <v>2.5</v>
      </c>
      <c r="H132" s="20">
        <v>1.28</v>
      </c>
      <c r="I132" s="134">
        <f t="shared" si="27"/>
        <v>0</v>
      </c>
      <c r="J132" s="142"/>
      <c r="K132" s="142"/>
      <c r="L132" s="135"/>
      <c r="M132" s="135"/>
    </row>
    <row r="133" spans="1:13" s="19" customFormat="1" ht="15.75" customHeight="1" x14ac:dyDescent="0.25">
      <c r="A133" s="96" t="s">
        <v>60</v>
      </c>
      <c r="B133" s="20">
        <f t="shared" si="26"/>
        <v>0</v>
      </c>
      <c r="C133" s="192"/>
      <c r="D133" s="192"/>
      <c r="E133" s="192"/>
      <c r="F133" s="20">
        <v>436</v>
      </c>
      <c r="G133" s="20">
        <v>2.7</v>
      </c>
      <c r="H133" s="20">
        <v>1.28</v>
      </c>
      <c r="I133" s="134">
        <f t="shared" si="27"/>
        <v>0</v>
      </c>
      <c r="J133" s="142"/>
      <c r="K133" s="142"/>
      <c r="L133" s="135"/>
      <c r="M133" s="135"/>
    </row>
    <row r="134" spans="1:13" s="19" customFormat="1" ht="15.75" customHeight="1" x14ac:dyDescent="0.25">
      <c r="A134" s="96" t="s">
        <v>57</v>
      </c>
      <c r="B134" s="20">
        <f t="shared" si="26"/>
        <v>0</v>
      </c>
      <c r="C134" s="192"/>
      <c r="D134" s="192"/>
      <c r="E134" s="192"/>
      <c r="F134" s="20">
        <v>436</v>
      </c>
      <c r="G134" s="20">
        <v>2.5</v>
      </c>
      <c r="H134" s="20">
        <v>1.28</v>
      </c>
      <c r="I134" s="134">
        <f t="shared" si="27"/>
        <v>0</v>
      </c>
      <c r="J134" s="142"/>
      <c r="K134" s="142"/>
      <c r="L134" s="135"/>
      <c r="M134" s="135"/>
    </row>
    <row r="135" spans="1:13" s="19" customFormat="1" ht="15.75" customHeight="1" x14ac:dyDescent="0.25">
      <c r="A135" s="96" t="s">
        <v>61</v>
      </c>
      <c r="B135" s="20">
        <f t="shared" si="26"/>
        <v>0</v>
      </c>
      <c r="C135" s="192"/>
      <c r="D135" s="192"/>
      <c r="E135" s="192"/>
      <c r="F135" s="20">
        <v>436</v>
      </c>
      <c r="G135" s="20">
        <v>2.5</v>
      </c>
      <c r="H135" s="20">
        <v>1.28</v>
      </c>
      <c r="I135" s="134">
        <f t="shared" si="27"/>
        <v>0</v>
      </c>
      <c r="J135" s="142"/>
      <c r="K135" s="142"/>
      <c r="L135" s="135"/>
      <c r="M135" s="135"/>
    </row>
    <row r="136" spans="1:13" s="19" customFormat="1" ht="15.75" customHeight="1" x14ac:dyDescent="0.25">
      <c r="A136" s="96" t="s">
        <v>62</v>
      </c>
      <c r="B136" s="20">
        <f t="shared" si="26"/>
        <v>3</v>
      </c>
      <c r="C136" s="192">
        <v>3</v>
      </c>
      <c r="D136" s="192"/>
      <c r="E136" s="192"/>
      <c r="F136" s="20">
        <v>436</v>
      </c>
      <c r="G136" s="20">
        <v>2.5</v>
      </c>
      <c r="H136" s="20">
        <v>1.28</v>
      </c>
      <c r="I136" s="134">
        <f t="shared" si="27"/>
        <v>50.2</v>
      </c>
      <c r="J136" s="142"/>
      <c r="K136" s="142"/>
      <c r="L136" s="135"/>
      <c r="M136" s="135"/>
    </row>
    <row r="137" spans="1:13" s="19" customFormat="1" ht="15.75" customHeight="1" x14ac:dyDescent="0.25">
      <c r="A137" s="96" t="s">
        <v>63</v>
      </c>
      <c r="B137" s="20">
        <f t="shared" si="26"/>
        <v>0</v>
      </c>
      <c r="C137" s="192"/>
      <c r="D137" s="192"/>
      <c r="E137" s="192"/>
      <c r="F137" s="20">
        <v>436</v>
      </c>
      <c r="G137" s="20">
        <v>2.5</v>
      </c>
      <c r="H137" s="20">
        <v>1.28</v>
      </c>
      <c r="I137" s="134">
        <f t="shared" si="27"/>
        <v>0</v>
      </c>
      <c r="J137" s="142"/>
      <c r="K137" s="142"/>
      <c r="L137" s="135"/>
      <c r="M137" s="135"/>
    </row>
    <row r="138" spans="1:13" s="19" customFormat="1" ht="15.75" customHeight="1" x14ac:dyDescent="0.25">
      <c r="A138" s="96" t="s">
        <v>64</v>
      </c>
      <c r="B138" s="20">
        <f t="shared" si="26"/>
        <v>3</v>
      </c>
      <c r="C138" s="192"/>
      <c r="D138" s="192">
        <v>3</v>
      </c>
      <c r="E138" s="192"/>
      <c r="F138" s="20">
        <v>436</v>
      </c>
      <c r="G138" s="20">
        <v>2.5</v>
      </c>
      <c r="H138" s="20">
        <v>1.28</v>
      </c>
      <c r="I138" s="134">
        <f t="shared" si="27"/>
        <v>50.2</v>
      </c>
      <c r="J138" s="142"/>
      <c r="K138" s="142"/>
      <c r="L138" s="135"/>
      <c r="M138" s="135"/>
    </row>
    <row r="139" spans="1:13" s="145" customFormat="1" ht="15.75" customHeight="1" x14ac:dyDescent="0.25">
      <c r="A139" s="150" t="s">
        <v>170</v>
      </c>
      <c r="B139" s="154">
        <f>SUM(B140:B148)</f>
        <v>20</v>
      </c>
      <c r="C139" s="154">
        <f>SUM(C140:C148)</f>
        <v>13</v>
      </c>
      <c r="D139" s="154">
        <f>SUM(D140:D148)</f>
        <v>5</v>
      </c>
      <c r="E139" s="154">
        <f>SUM(E140:E148)</f>
        <v>2</v>
      </c>
      <c r="F139" s="154"/>
      <c r="G139" s="154"/>
      <c r="H139" s="154"/>
      <c r="I139" s="149">
        <f>SUM(I140:I148)</f>
        <v>389.3</v>
      </c>
      <c r="J139" s="152"/>
      <c r="K139" s="152"/>
      <c r="L139" s="155"/>
      <c r="M139" s="155"/>
    </row>
    <row r="140" spans="1:13" s="19" customFormat="1" ht="15.75" customHeight="1" x14ac:dyDescent="0.25">
      <c r="A140" s="96" t="s">
        <v>6</v>
      </c>
      <c r="B140" s="20">
        <f>C140+D140+E140</f>
        <v>5</v>
      </c>
      <c r="C140" s="192">
        <v>3</v>
      </c>
      <c r="D140" s="192">
        <v>2</v>
      </c>
      <c r="E140" s="192"/>
      <c r="F140" s="20">
        <v>507</v>
      </c>
      <c r="G140" s="20">
        <v>2.5</v>
      </c>
      <c r="H140" s="20">
        <v>1.28</v>
      </c>
      <c r="I140" s="134">
        <f>ROUND((B140*F140*G140*H140)*12/1000,1)</f>
        <v>97.3</v>
      </c>
      <c r="J140" s="142"/>
      <c r="K140" s="142"/>
      <c r="L140" s="135"/>
      <c r="M140" s="135"/>
    </row>
    <row r="141" spans="1:13" s="19" customFormat="1" ht="15.75" customHeight="1" x14ac:dyDescent="0.25">
      <c r="A141" s="96" t="s">
        <v>58</v>
      </c>
      <c r="B141" s="20">
        <f t="shared" ref="B141:B148" si="28">C141+D141+E141</f>
        <v>3</v>
      </c>
      <c r="C141" s="192">
        <v>2</v>
      </c>
      <c r="D141" s="192"/>
      <c r="E141" s="192">
        <v>1</v>
      </c>
      <c r="F141" s="20">
        <v>507</v>
      </c>
      <c r="G141" s="20">
        <v>2.5</v>
      </c>
      <c r="H141" s="20">
        <v>1.28</v>
      </c>
      <c r="I141" s="134">
        <f t="shared" ref="I141:I148" si="29">ROUND((B141*F141*G141*H141)*12/1000,1)</f>
        <v>58.4</v>
      </c>
      <c r="J141" s="142"/>
      <c r="K141" s="142"/>
      <c r="L141" s="135"/>
      <c r="M141" s="135"/>
    </row>
    <row r="142" spans="1:13" s="19" customFormat="1" ht="15.75" customHeight="1" x14ac:dyDescent="0.25">
      <c r="A142" s="96" t="s">
        <v>55</v>
      </c>
      <c r="B142" s="20">
        <f t="shared" si="28"/>
        <v>0</v>
      </c>
      <c r="C142" s="192"/>
      <c r="D142" s="192"/>
      <c r="E142" s="192"/>
      <c r="F142" s="20">
        <v>507</v>
      </c>
      <c r="G142" s="20">
        <v>2.5</v>
      </c>
      <c r="H142" s="20">
        <v>1.28</v>
      </c>
      <c r="I142" s="134">
        <f t="shared" si="29"/>
        <v>0</v>
      </c>
      <c r="J142" s="142"/>
      <c r="K142" s="142"/>
      <c r="L142" s="135"/>
      <c r="M142" s="135"/>
    </row>
    <row r="143" spans="1:13" s="19" customFormat="1" ht="15.75" customHeight="1" x14ac:dyDescent="0.25">
      <c r="A143" s="96" t="s">
        <v>60</v>
      </c>
      <c r="B143" s="20">
        <f t="shared" si="28"/>
        <v>0</v>
      </c>
      <c r="C143" s="192"/>
      <c r="D143" s="192"/>
      <c r="E143" s="192"/>
      <c r="F143" s="20">
        <v>507</v>
      </c>
      <c r="G143" s="20">
        <v>2.7</v>
      </c>
      <c r="H143" s="20">
        <v>1.28</v>
      </c>
      <c r="I143" s="134">
        <f t="shared" si="29"/>
        <v>0</v>
      </c>
      <c r="J143" s="142"/>
      <c r="K143" s="142"/>
      <c r="L143" s="135"/>
      <c r="M143" s="135"/>
    </row>
    <row r="144" spans="1:13" s="19" customFormat="1" ht="15.75" customHeight="1" x14ac:dyDescent="0.25">
      <c r="A144" s="96" t="s">
        <v>57</v>
      </c>
      <c r="B144" s="20">
        <f t="shared" si="28"/>
        <v>0</v>
      </c>
      <c r="C144" s="192"/>
      <c r="D144" s="192"/>
      <c r="E144" s="192"/>
      <c r="F144" s="20">
        <v>507</v>
      </c>
      <c r="G144" s="20">
        <v>2.5</v>
      </c>
      <c r="H144" s="20">
        <v>1.28</v>
      </c>
      <c r="I144" s="134">
        <f t="shared" si="29"/>
        <v>0</v>
      </c>
      <c r="J144" s="142"/>
      <c r="K144" s="142"/>
      <c r="L144" s="135"/>
      <c r="M144" s="135"/>
    </row>
    <row r="145" spans="1:13" s="19" customFormat="1" ht="15.75" customHeight="1" x14ac:dyDescent="0.25">
      <c r="A145" s="96" t="s">
        <v>61</v>
      </c>
      <c r="B145" s="20">
        <f t="shared" si="28"/>
        <v>1</v>
      </c>
      <c r="C145" s="192"/>
      <c r="D145" s="192">
        <v>1</v>
      </c>
      <c r="E145" s="192"/>
      <c r="F145" s="20">
        <v>507</v>
      </c>
      <c r="G145" s="20">
        <v>2.5</v>
      </c>
      <c r="H145" s="20">
        <v>1.28</v>
      </c>
      <c r="I145" s="134">
        <f t="shared" si="29"/>
        <v>19.5</v>
      </c>
      <c r="J145" s="142"/>
      <c r="K145" s="142"/>
      <c r="L145" s="135"/>
      <c r="M145" s="135"/>
    </row>
    <row r="146" spans="1:13" s="19" customFormat="1" ht="15.75" customHeight="1" x14ac:dyDescent="0.25">
      <c r="A146" s="96" t="s">
        <v>62</v>
      </c>
      <c r="B146" s="20">
        <f t="shared" si="28"/>
        <v>3</v>
      </c>
      <c r="C146" s="192">
        <v>3</v>
      </c>
      <c r="D146" s="192"/>
      <c r="E146" s="192"/>
      <c r="F146" s="20">
        <v>507</v>
      </c>
      <c r="G146" s="20">
        <v>2.5</v>
      </c>
      <c r="H146" s="20">
        <v>1.28</v>
      </c>
      <c r="I146" s="134">
        <f t="shared" si="29"/>
        <v>58.4</v>
      </c>
      <c r="J146" s="142"/>
      <c r="K146" s="142"/>
      <c r="L146" s="135"/>
      <c r="M146" s="135"/>
    </row>
    <row r="147" spans="1:13" s="19" customFormat="1" ht="15.75" customHeight="1" x14ac:dyDescent="0.25">
      <c r="A147" s="96" t="s">
        <v>63</v>
      </c>
      <c r="B147" s="20">
        <f t="shared" si="28"/>
        <v>3</v>
      </c>
      <c r="C147" s="192">
        <v>3</v>
      </c>
      <c r="D147" s="192"/>
      <c r="E147" s="192"/>
      <c r="F147" s="20">
        <v>507</v>
      </c>
      <c r="G147" s="20">
        <v>2.5</v>
      </c>
      <c r="H147" s="20">
        <v>1.28</v>
      </c>
      <c r="I147" s="134">
        <f t="shared" si="29"/>
        <v>58.4</v>
      </c>
      <c r="J147" s="142"/>
      <c r="K147" s="142"/>
      <c r="L147" s="135"/>
      <c r="M147" s="135"/>
    </row>
    <row r="148" spans="1:13" s="19" customFormat="1" ht="15.75" customHeight="1" x14ac:dyDescent="0.25">
      <c r="A148" s="96" t="s">
        <v>64</v>
      </c>
      <c r="B148" s="20">
        <f t="shared" si="28"/>
        <v>5</v>
      </c>
      <c r="C148" s="192">
        <v>2</v>
      </c>
      <c r="D148" s="192">
        <v>2</v>
      </c>
      <c r="E148" s="192">
        <v>1</v>
      </c>
      <c r="F148" s="20">
        <v>507</v>
      </c>
      <c r="G148" s="20">
        <v>2.5</v>
      </c>
      <c r="H148" s="20">
        <v>1.28</v>
      </c>
      <c r="I148" s="134">
        <f t="shared" si="29"/>
        <v>97.3</v>
      </c>
      <c r="J148" s="142"/>
      <c r="K148" s="142"/>
      <c r="L148" s="135"/>
      <c r="M148" s="135"/>
    </row>
    <row r="149" spans="1:13" s="145" customFormat="1" x14ac:dyDescent="0.25">
      <c r="A149" s="150" t="s">
        <v>171</v>
      </c>
      <c r="B149" s="154">
        <f>SUM(B150:B158)</f>
        <v>0</v>
      </c>
      <c r="C149" s="154">
        <f>SUM(C150:C158)</f>
        <v>0</v>
      </c>
      <c r="D149" s="154">
        <f>SUM(D150:D158)</f>
        <v>0</v>
      </c>
      <c r="E149" s="154">
        <f>SUM(E150:E158)</f>
        <v>0</v>
      </c>
      <c r="F149" s="154"/>
      <c r="G149" s="154"/>
      <c r="H149" s="154"/>
      <c r="I149" s="149">
        <f>SUM(I150:I158)</f>
        <v>0</v>
      </c>
      <c r="J149" s="152"/>
      <c r="K149" s="152"/>
      <c r="L149" s="155"/>
      <c r="M149" s="155"/>
    </row>
    <row r="150" spans="1:13" s="19" customFormat="1" x14ac:dyDescent="0.25">
      <c r="A150" s="96" t="s">
        <v>6</v>
      </c>
      <c r="B150" s="20">
        <f>C150+D150+E150</f>
        <v>0</v>
      </c>
      <c r="C150" s="192"/>
      <c r="D150" s="192"/>
      <c r="E150" s="192"/>
      <c r="F150" s="20">
        <v>747</v>
      </c>
      <c r="G150" s="20">
        <v>2.5</v>
      </c>
      <c r="H150" s="20">
        <v>1.28</v>
      </c>
      <c r="I150" s="134">
        <f>ROUND((B150*F150*G150*H150)*12/1000,1)</f>
        <v>0</v>
      </c>
      <c r="J150" s="142"/>
      <c r="K150" s="142"/>
      <c r="L150" s="135"/>
      <c r="M150" s="135"/>
    </row>
    <row r="151" spans="1:13" s="19" customFormat="1" x14ac:dyDescent="0.25">
      <c r="A151" s="96" t="s">
        <v>58</v>
      </c>
      <c r="B151" s="20">
        <f t="shared" ref="B151:B158" si="30">C151+D151+E151</f>
        <v>0</v>
      </c>
      <c r="C151" s="192"/>
      <c r="D151" s="192"/>
      <c r="E151" s="192"/>
      <c r="F151" s="20">
        <v>747</v>
      </c>
      <c r="G151" s="20">
        <v>2.5</v>
      </c>
      <c r="H151" s="20">
        <v>1.28</v>
      </c>
      <c r="I151" s="134">
        <f t="shared" ref="I151:I158" si="31">ROUND((B151*F151*G151*H151)*12/1000,1)</f>
        <v>0</v>
      </c>
      <c r="J151" s="142"/>
      <c r="K151" s="142"/>
      <c r="L151" s="135"/>
      <c r="M151" s="135"/>
    </row>
    <row r="152" spans="1:13" s="19" customFormat="1" x14ac:dyDescent="0.25">
      <c r="A152" s="96" t="s">
        <v>55</v>
      </c>
      <c r="B152" s="20">
        <f t="shared" si="30"/>
        <v>0</v>
      </c>
      <c r="C152" s="192"/>
      <c r="D152" s="192"/>
      <c r="E152" s="192"/>
      <c r="F152" s="20">
        <v>747</v>
      </c>
      <c r="G152" s="20">
        <v>2.5</v>
      </c>
      <c r="H152" s="20">
        <v>1.28</v>
      </c>
      <c r="I152" s="134">
        <f t="shared" si="31"/>
        <v>0</v>
      </c>
      <c r="J152" s="142"/>
      <c r="K152" s="142"/>
      <c r="L152" s="135"/>
      <c r="M152" s="135"/>
    </row>
    <row r="153" spans="1:13" s="19" customFormat="1" x14ac:dyDescent="0.25">
      <c r="A153" s="96" t="s">
        <v>60</v>
      </c>
      <c r="B153" s="20">
        <f t="shared" si="30"/>
        <v>0</v>
      </c>
      <c r="C153" s="192"/>
      <c r="D153" s="192"/>
      <c r="E153" s="192"/>
      <c r="F153" s="20">
        <v>747</v>
      </c>
      <c r="G153" s="20">
        <v>2.7</v>
      </c>
      <c r="H153" s="20">
        <v>1.28</v>
      </c>
      <c r="I153" s="134">
        <f t="shared" si="31"/>
        <v>0</v>
      </c>
      <c r="J153" s="142"/>
      <c r="K153" s="142"/>
      <c r="L153" s="135"/>
      <c r="M153" s="135"/>
    </row>
    <row r="154" spans="1:13" s="19" customFormat="1" x14ac:dyDescent="0.25">
      <c r="A154" s="96" t="s">
        <v>57</v>
      </c>
      <c r="B154" s="20">
        <f t="shared" si="30"/>
        <v>0</v>
      </c>
      <c r="C154" s="192"/>
      <c r="D154" s="192"/>
      <c r="E154" s="192"/>
      <c r="F154" s="20">
        <v>747</v>
      </c>
      <c r="G154" s="20">
        <v>2.5</v>
      </c>
      <c r="H154" s="20">
        <v>1.28</v>
      </c>
      <c r="I154" s="134">
        <f t="shared" si="31"/>
        <v>0</v>
      </c>
      <c r="J154" s="142"/>
      <c r="K154" s="142"/>
      <c r="L154" s="135"/>
      <c r="M154" s="135"/>
    </row>
    <row r="155" spans="1:13" s="19" customFormat="1" x14ac:dyDescent="0.25">
      <c r="A155" s="96" t="s">
        <v>61</v>
      </c>
      <c r="B155" s="20">
        <f t="shared" si="30"/>
        <v>0</v>
      </c>
      <c r="C155" s="192"/>
      <c r="D155" s="192"/>
      <c r="E155" s="192"/>
      <c r="F155" s="20">
        <v>747</v>
      </c>
      <c r="G155" s="20">
        <v>2.5</v>
      </c>
      <c r="H155" s="20">
        <v>1.28</v>
      </c>
      <c r="I155" s="134">
        <f t="shared" si="31"/>
        <v>0</v>
      </c>
      <c r="J155" s="142"/>
      <c r="K155" s="142"/>
      <c r="L155" s="135"/>
      <c r="M155" s="135"/>
    </row>
    <row r="156" spans="1:13" s="19" customFormat="1" x14ac:dyDescent="0.25">
      <c r="A156" s="96" t="s">
        <v>62</v>
      </c>
      <c r="B156" s="20">
        <f t="shared" si="30"/>
        <v>0</v>
      </c>
      <c r="C156" s="192"/>
      <c r="D156" s="192"/>
      <c r="E156" s="192"/>
      <c r="F156" s="20">
        <v>747</v>
      </c>
      <c r="G156" s="20">
        <v>2.5</v>
      </c>
      <c r="H156" s="20">
        <v>1.28</v>
      </c>
      <c r="I156" s="134">
        <f t="shared" si="31"/>
        <v>0</v>
      </c>
      <c r="J156" s="142"/>
      <c r="K156" s="142"/>
      <c r="L156" s="135"/>
      <c r="M156" s="135"/>
    </row>
    <row r="157" spans="1:13" s="19" customFormat="1" x14ac:dyDescent="0.25">
      <c r="A157" s="96" t="s">
        <v>63</v>
      </c>
      <c r="B157" s="20">
        <f t="shared" si="30"/>
        <v>0</v>
      </c>
      <c r="C157" s="192"/>
      <c r="D157" s="192"/>
      <c r="E157" s="192"/>
      <c r="F157" s="20">
        <v>747</v>
      </c>
      <c r="G157" s="20">
        <v>2.5</v>
      </c>
      <c r="H157" s="20">
        <v>1.28</v>
      </c>
      <c r="I157" s="134">
        <f t="shared" si="31"/>
        <v>0</v>
      </c>
      <c r="J157" s="142"/>
      <c r="K157" s="142"/>
      <c r="L157" s="135"/>
      <c r="M157" s="135"/>
    </row>
    <row r="158" spans="1:13" s="19" customFormat="1" x14ac:dyDescent="0.25">
      <c r="A158" s="96" t="s">
        <v>64</v>
      </c>
      <c r="B158" s="20">
        <f t="shared" si="30"/>
        <v>0</v>
      </c>
      <c r="C158" s="192"/>
      <c r="D158" s="192"/>
      <c r="E158" s="192"/>
      <c r="F158" s="20">
        <v>747</v>
      </c>
      <c r="G158" s="20">
        <v>2.5</v>
      </c>
      <c r="H158" s="20">
        <v>1.28</v>
      </c>
      <c r="I158" s="134">
        <f t="shared" si="31"/>
        <v>0</v>
      </c>
      <c r="J158" s="142"/>
      <c r="K158" s="142"/>
      <c r="L158" s="135"/>
      <c r="M158" s="135"/>
    </row>
  </sheetData>
  <mergeCells count="16">
    <mergeCell ref="L5:L6"/>
    <mergeCell ref="A17:M17"/>
    <mergeCell ref="A1:M1"/>
    <mergeCell ref="A2:M2"/>
    <mergeCell ref="M5:M6"/>
    <mergeCell ref="A3:I3"/>
    <mergeCell ref="B5:B6"/>
    <mergeCell ref="C5:E5"/>
    <mergeCell ref="F5:F6"/>
    <mergeCell ref="G5:G6"/>
    <mergeCell ref="H5:H6"/>
    <mergeCell ref="I5:I6"/>
    <mergeCell ref="A5:A6"/>
    <mergeCell ref="J5:J6"/>
    <mergeCell ref="K5:K6"/>
    <mergeCell ref="J4:K4"/>
  </mergeCells>
  <pageMargins left="0.51181102362204722" right="0.19685039370078741" top="0.31496062992125984" bottom="0.35433070866141736" header="0.15748031496062992" footer="0.31496062992125984"/>
  <pageSetup paperSize="9" scale="26" orientation="portrait" r:id="rId1"/>
  <rowBreaks count="1" manualBreakCount="1">
    <brk id="74" max="12" man="1"/>
  </rowBreaks>
  <colBreaks count="1" manualBreakCount="1">
    <brk id="11" max="1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U20"/>
  <sheetViews>
    <sheetView workbookViewId="0">
      <selection activeCell="C5" sqref="C5"/>
    </sheetView>
  </sheetViews>
  <sheetFormatPr defaultRowHeight="12.75" x14ac:dyDescent="0.2"/>
  <cols>
    <col min="1" max="1" width="30.28515625" style="9" bestFit="1" customWidth="1"/>
    <col min="2" max="2" width="18.28515625" style="9" customWidth="1"/>
    <col min="3" max="3" width="11" style="9" bestFit="1" customWidth="1"/>
    <col min="4" max="4" width="22.28515625" style="9" customWidth="1"/>
    <col min="5" max="5" width="37.42578125" style="9" customWidth="1"/>
    <col min="6" max="6" width="10.28515625" style="9" bestFit="1" customWidth="1"/>
    <col min="7" max="7" width="13.28515625" style="9" customWidth="1"/>
    <col min="8" max="9" width="9" style="9" hidden="1" customWidth="1"/>
    <col min="10" max="10" width="12" style="9" customWidth="1"/>
    <col min="11" max="11" width="12.5703125" style="9" customWidth="1"/>
    <col min="12" max="12" width="10.140625" style="9" customWidth="1"/>
    <col min="13" max="13" width="11.28515625" style="9" customWidth="1"/>
    <col min="14" max="14" width="11" style="9" hidden="1" customWidth="1"/>
    <col min="15" max="15" width="12.42578125" style="9" hidden="1" customWidth="1"/>
    <col min="16" max="16" width="11.28515625" style="9" hidden="1" customWidth="1"/>
    <col min="17" max="17" width="11" style="9" hidden="1" customWidth="1"/>
    <col min="18" max="18" width="12.28515625" style="9" hidden="1" customWidth="1"/>
    <col min="19" max="19" width="14.42578125" style="9" hidden="1" customWidth="1"/>
    <col min="20" max="20" width="11" style="9" hidden="1" customWidth="1"/>
    <col min="21" max="21" width="12.28515625" style="9" hidden="1" customWidth="1"/>
    <col min="22" max="16384" width="9.140625" style="9"/>
  </cols>
  <sheetData>
    <row r="1" spans="1:19" ht="15.75" x14ac:dyDescent="0.25">
      <c r="A1" s="777" t="s">
        <v>53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9" ht="62.25" customHeight="1" x14ac:dyDescent="0.2">
      <c r="A2" s="784" t="s">
        <v>328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102"/>
      <c r="M2" s="102"/>
      <c r="N2" s="102"/>
      <c r="O2" s="102"/>
      <c r="P2" s="102"/>
      <c r="Q2" s="102"/>
      <c r="R2" s="102"/>
      <c r="S2" s="102"/>
    </row>
    <row r="3" spans="1:19" ht="25.5" customHeight="1" x14ac:dyDescent="0.3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103"/>
      <c r="M3" s="103"/>
      <c r="N3" s="103"/>
      <c r="O3" s="103"/>
      <c r="P3" s="103"/>
      <c r="Q3" s="103"/>
      <c r="R3" s="103"/>
      <c r="S3" s="103"/>
    </row>
    <row r="4" spans="1:19" ht="15.75" x14ac:dyDescent="0.2">
      <c r="A4" s="102"/>
      <c r="B4" s="102"/>
      <c r="C4" s="102"/>
      <c r="D4" s="102"/>
      <c r="E4" s="102"/>
      <c r="F4" s="102"/>
      <c r="G4" s="80"/>
      <c r="H4" s="80"/>
      <c r="I4" s="80"/>
      <c r="J4" s="80"/>
      <c r="K4" s="80" t="s">
        <v>50</v>
      </c>
      <c r="L4" s="102"/>
      <c r="M4" s="102"/>
      <c r="N4" s="102"/>
      <c r="O4" s="102"/>
      <c r="P4" s="102"/>
      <c r="Q4" s="102"/>
      <c r="R4" s="102"/>
      <c r="S4" s="102"/>
    </row>
    <row r="5" spans="1:19" ht="210.75" customHeight="1" x14ac:dyDescent="0.2">
      <c r="A5" s="52" t="s">
        <v>1</v>
      </c>
      <c r="B5" s="168" t="s">
        <v>88</v>
      </c>
      <c r="C5" s="52" t="s">
        <v>91</v>
      </c>
      <c r="D5" s="52" t="s">
        <v>89</v>
      </c>
      <c r="E5" s="52" t="s">
        <v>90</v>
      </c>
      <c r="F5" s="52" t="s">
        <v>87</v>
      </c>
      <c r="G5" s="111" t="s">
        <v>268</v>
      </c>
      <c r="H5" s="367" t="s">
        <v>241</v>
      </c>
      <c r="I5" s="367" t="s">
        <v>242</v>
      </c>
      <c r="J5" s="111" t="s">
        <v>230</v>
      </c>
      <c r="K5" s="111" t="s">
        <v>264</v>
      </c>
    </row>
    <row r="6" spans="1:19" x14ac:dyDescent="0.2">
      <c r="A6" s="53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/>
      <c r="I6" s="106"/>
      <c r="J6" s="106">
        <v>7</v>
      </c>
      <c r="K6" s="106">
        <v>7</v>
      </c>
    </row>
    <row r="7" spans="1:19" s="23" customFormat="1" ht="15.75" x14ac:dyDescent="0.25">
      <c r="A7" s="107" t="s">
        <v>6</v>
      </c>
      <c r="B7" s="180">
        <v>138</v>
      </c>
      <c r="C7" s="108">
        <v>1.0469999999999999</v>
      </c>
      <c r="D7" s="104">
        <v>2.5</v>
      </c>
      <c r="E7" s="108">
        <v>1.302</v>
      </c>
      <c r="F7" s="109">
        <v>12</v>
      </c>
      <c r="G7" s="104">
        <f>ROUND(B7*C7*D7*E7*F7,1)</f>
        <v>5643.6</v>
      </c>
      <c r="H7" s="104">
        <f>G7-I7</f>
        <v>4334.6000000000004</v>
      </c>
      <c r="I7" s="104">
        <f>ROUND(G7*0.302/1.302,1)</f>
        <v>1309</v>
      </c>
      <c r="J7" s="104">
        <f>G7</f>
        <v>5643.6</v>
      </c>
      <c r="K7" s="104">
        <f>J7</f>
        <v>5643.6</v>
      </c>
    </row>
    <row r="8" spans="1:19" s="23" customFormat="1" ht="15.75" x14ac:dyDescent="0.25">
      <c r="A8" s="107" t="s">
        <v>58</v>
      </c>
      <c r="B8" s="180">
        <v>227</v>
      </c>
      <c r="C8" s="108">
        <v>1.0469999999999999</v>
      </c>
      <c r="D8" s="104">
        <v>2.5</v>
      </c>
      <c r="E8" s="108">
        <v>1.302</v>
      </c>
      <c r="F8" s="109">
        <v>12</v>
      </c>
      <c r="G8" s="104">
        <f t="shared" ref="G8:G15" si="0">ROUND(B8*C8*D8*E8*F8,1)</f>
        <v>9283.4</v>
      </c>
      <c r="H8" s="104">
        <f t="shared" ref="H8:H15" si="1">G8-I8</f>
        <v>7130.0999999999995</v>
      </c>
      <c r="I8" s="104">
        <f t="shared" ref="I8:I15" si="2">ROUND(G8*0.302/1.302,1)</f>
        <v>2153.3000000000002</v>
      </c>
      <c r="J8" s="104">
        <f t="shared" ref="J8:J15" si="3">G8</f>
        <v>9283.4</v>
      </c>
      <c r="K8" s="104">
        <f t="shared" ref="K8:K15" si="4">J8</f>
        <v>9283.4</v>
      </c>
    </row>
    <row r="9" spans="1:19" s="23" customFormat="1" ht="15.75" x14ac:dyDescent="0.25">
      <c r="A9" s="107" t="s">
        <v>55</v>
      </c>
      <c r="B9" s="180">
        <v>125</v>
      </c>
      <c r="C9" s="108">
        <v>1.0469999999999999</v>
      </c>
      <c r="D9" s="104">
        <v>2.5</v>
      </c>
      <c r="E9" s="108">
        <v>1.302</v>
      </c>
      <c r="F9" s="109">
        <v>12</v>
      </c>
      <c r="G9" s="104">
        <f t="shared" si="0"/>
        <v>5112</v>
      </c>
      <c r="H9" s="104">
        <f t="shared" si="1"/>
        <v>3926.3</v>
      </c>
      <c r="I9" s="104">
        <f t="shared" si="2"/>
        <v>1185.7</v>
      </c>
      <c r="J9" s="104">
        <f t="shared" si="3"/>
        <v>5112</v>
      </c>
      <c r="K9" s="104">
        <f t="shared" si="4"/>
        <v>5112</v>
      </c>
    </row>
    <row r="10" spans="1:19" s="23" customFormat="1" ht="14.25" customHeight="1" x14ac:dyDescent="0.25">
      <c r="A10" s="110" t="s">
        <v>60</v>
      </c>
      <c r="B10" s="180">
        <v>93</v>
      </c>
      <c r="C10" s="108">
        <v>1.0469999999999999</v>
      </c>
      <c r="D10" s="104">
        <v>2.7</v>
      </c>
      <c r="E10" s="108">
        <v>1.302</v>
      </c>
      <c r="F10" s="109">
        <v>12</v>
      </c>
      <c r="G10" s="104">
        <f t="shared" si="0"/>
        <v>4107.6000000000004</v>
      </c>
      <c r="H10" s="104">
        <f t="shared" si="1"/>
        <v>3154.8</v>
      </c>
      <c r="I10" s="104">
        <f t="shared" si="2"/>
        <v>952.8</v>
      </c>
      <c r="J10" s="104">
        <f t="shared" si="3"/>
        <v>4107.6000000000004</v>
      </c>
      <c r="K10" s="104">
        <f t="shared" si="4"/>
        <v>4107.6000000000004</v>
      </c>
    </row>
    <row r="11" spans="1:19" s="23" customFormat="1" ht="15.75" x14ac:dyDescent="0.25">
      <c r="A11" s="107" t="s">
        <v>57</v>
      </c>
      <c r="B11" s="180">
        <v>80</v>
      </c>
      <c r="C11" s="108">
        <v>1.0469999999999999</v>
      </c>
      <c r="D11" s="104">
        <v>2.5</v>
      </c>
      <c r="E11" s="108">
        <v>1.302</v>
      </c>
      <c r="F11" s="109">
        <v>12</v>
      </c>
      <c r="G11" s="104">
        <f t="shared" si="0"/>
        <v>3271.7</v>
      </c>
      <c r="H11" s="104">
        <f t="shared" si="1"/>
        <v>2512.7999999999997</v>
      </c>
      <c r="I11" s="104">
        <f t="shared" si="2"/>
        <v>758.9</v>
      </c>
      <c r="J11" s="104">
        <f t="shared" si="3"/>
        <v>3271.7</v>
      </c>
      <c r="K11" s="104">
        <f t="shared" si="4"/>
        <v>3271.7</v>
      </c>
    </row>
    <row r="12" spans="1:19" s="23" customFormat="1" ht="15.75" x14ac:dyDescent="0.25">
      <c r="A12" s="107" t="s">
        <v>61</v>
      </c>
      <c r="B12" s="180">
        <v>141</v>
      </c>
      <c r="C12" s="108">
        <v>1.0469999999999999</v>
      </c>
      <c r="D12" s="104">
        <v>2.5</v>
      </c>
      <c r="E12" s="108">
        <v>1.302</v>
      </c>
      <c r="F12" s="109">
        <v>12</v>
      </c>
      <c r="G12" s="104">
        <f t="shared" si="0"/>
        <v>5766.3</v>
      </c>
      <c r="H12" s="104">
        <f t="shared" si="1"/>
        <v>4428.8</v>
      </c>
      <c r="I12" s="104">
        <f t="shared" si="2"/>
        <v>1337.5</v>
      </c>
      <c r="J12" s="104">
        <f t="shared" si="3"/>
        <v>5766.3</v>
      </c>
      <c r="K12" s="104">
        <f t="shared" si="4"/>
        <v>5766.3</v>
      </c>
    </row>
    <row r="13" spans="1:19" s="23" customFormat="1" ht="15.75" x14ac:dyDescent="0.25">
      <c r="A13" s="107" t="s">
        <v>62</v>
      </c>
      <c r="B13" s="180">
        <v>114</v>
      </c>
      <c r="C13" s="108">
        <v>1.0469999999999999</v>
      </c>
      <c r="D13" s="104">
        <v>2.5</v>
      </c>
      <c r="E13" s="108">
        <v>1.302</v>
      </c>
      <c r="F13" s="109">
        <v>12</v>
      </c>
      <c r="G13" s="104">
        <f t="shared" si="0"/>
        <v>4662.1000000000004</v>
      </c>
      <c r="H13" s="104">
        <f t="shared" si="1"/>
        <v>3580.7000000000003</v>
      </c>
      <c r="I13" s="104">
        <f t="shared" si="2"/>
        <v>1081.4000000000001</v>
      </c>
      <c r="J13" s="104">
        <f t="shared" si="3"/>
        <v>4662.1000000000004</v>
      </c>
      <c r="K13" s="104">
        <f t="shared" si="4"/>
        <v>4662.1000000000004</v>
      </c>
    </row>
    <row r="14" spans="1:19" s="23" customFormat="1" ht="15.75" x14ac:dyDescent="0.25">
      <c r="A14" s="107" t="s">
        <v>63</v>
      </c>
      <c r="B14" s="180">
        <v>189</v>
      </c>
      <c r="C14" s="108">
        <v>1.0469999999999999</v>
      </c>
      <c r="D14" s="104">
        <v>2.5</v>
      </c>
      <c r="E14" s="108">
        <v>1.302</v>
      </c>
      <c r="F14" s="109">
        <v>12</v>
      </c>
      <c r="G14" s="104">
        <f t="shared" si="0"/>
        <v>7729.3</v>
      </c>
      <c r="H14" s="104">
        <f t="shared" si="1"/>
        <v>5936.5</v>
      </c>
      <c r="I14" s="104">
        <f t="shared" si="2"/>
        <v>1792.8</v>
      </c>
      <c r="J14" s="104">
        <f t="shared" si="3"/>
        <v>7729.3</v>
      </c>
      <c r="K14" s="104">
        <f t="shared" si="4"/>
        <v>7729.3</v>
      </c>
    </row>
    <row r="15" spans="1:19" s="23" customFormat="1" ht="15.75" x14ac:dyDescent="0.25">
      <c r="A15" s="107" t="s">
        <v>64</v>
      </c>
      <c r="B15" s="180">
        <v>165</v>
      </c>
      <c r="C15" s="108">
        <v>1.0469999999999999</v>
      </c>
      <c r="D15" s="104">
        <v>2.5</v>
      </c>
      <c r="E15" s="108">
        <v>1.302</v>
      </c>
      <c r="F15" s="109">
        <v>12</v>
      </c>
      <c r="G15" s="104">
        <f t="shared" si="0"/>
        <v>6747.8</v>
      </c>
      <c r="H15" s="104">
        <f t="shared" si="1"/>
        <v>5182.6000000000004</v>
      </c>
      <c r="I15" s="104">
        <f t="shared" si="2"/>
        <v>1565.2</v>
      </c>
      <c r="J15" s="104">
        <f t="shared" si="3"/>
        <v>6747.8</v>
      </c>
      <c r="K15" s="104">
        <f t="shared" si="4"/>
        <v>6747.8</v>
      </c>
    </row>
    <row r="16" spans="1:19" s="23" customFormat="1" ht="21.75" customHeight="1" x14ac:dyDescent="0.25">
      <c r="A16" s="198" t="s">
        <v>4</v>
      </c>
      <c r="B16" s="199">
        <f>SUM(B7:B15)</f>
        <v>1272</v>
      </c>
      <c r="C16" s="199"/>
      <c r="D16" s="200"/>
      <c r="E16" s="200"/>
      <c r="F16" s="200"/>
      <c r="G16" s="104">
        <f>SUM(G7:G15)</f>
        <v>52323.8</v>
      </c>
      <c r="H16" s="104">
        <f>SUM(H7:H15)</f>
        <v>40187.199999999997</v>
      </c>
      <c r="I16" s="104">
        <f>SUM(I7:I15)</f>
        <v>12136.6</v>
      </c>
      <c r="J16" s="104">
        <f>SUM(J7:J15)</f>
        <v>52323.8</v>
      </c>
      <c r="K16" s="104">
        <f>SUM(K7:K15)</f>
        <v>52323.8</v>
      </c>
    </row>
    <row r="17" spans="5:5" s="23" customFormat="1" ht="15.75" x14ac:dyDescent="0.25"/>
    <row r="20" spans="5:5" x14ac:dyDescent="0.2">
      <c r="E20" s="105"/>
    </row>
  </sheetData>
  <mergeCells count="3">
    <mergeCell ref="A2:K2"/>
    <mergeCell ref="A1:K1"/>
    <mergeCell ref="A3:K3"/>
  </mergeCells>
  <pageMargins left="0.69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9</vt:i4>
      </vt:variant>
    </vt:vector>
  </HeadingPairs>
  <TitlesOfParts>
    <vt:vector size="46" baseType="lpstr">
      <vt:lpstr>Дружина</vt:lpstr>
      <vt:lpstr>опека-свод</vt:lpstr>
      <vt:lpstr>опека-минтруд</vt:lpstr>
      <vt:lpstr>опека-минобр</vt:lpstr>
      <vt:lpstr>Шк</vt:lpstr>
      <vt:lpstr>ДО</vt:lpstr>
      <vt:lpstr>ОО</vt:lpstr>
      <vt:lpstr>категор</vt:lpstr>
      <vt:lpstr>пед работники</vt:lpstr>
      <vt:lpstr>кл. рук-во</vt:lpstr>
      <vt:lpstr>КПДН</vt:lpstr>
      <vt:lpstr>безнадзорные</vt:lpstr>
      <vt:lpstr>выезжающ</vt:lpstr>
      <vt:lpstr>адм комис</vt:lpstr>
      <vt:lpstr>жилье дети-сир по найму</vt:lpstr>
      <vt:lpstr>жилье дети-сироты</vt:lpstr>
      <vt:lpstr>летн отдых</vt:lpstr>
      <vt:lpstr>автобус</vt:lpstr>
      <vt:lpstr>льготы ЖКХ (обр)</vt:lpstr>
      <vt:lpstr>молодая семья</vt:lpstr>
      <vt:lpstr>обр процесс ДОУ</vt:lpstr>
      <vt:lpstr>обр процесс школы</vt:lpstr>
      <vt:lpstr>питание</vt:lpstr>
      <vt:lpstr>питание (многодет)</vt:lpstr>
      <vt:lpstr>туб интоксикация</vt:lpstr>
      <vt:lpstr>присмотр ОВЗ</vt:lpstr>
      <vt:lpstr>спорт</vt:lpstr>
      <vt:lpstr>повыш квал</vt:lpstr>
      <vt:lpstr>доппроф обр</vt:lpstr>
      <vt:lpstr>кадр резерв</vt:lpstr>
      <vt:lpstr>почетн</vt:lpstr>
      <vt:lpstr>кадастр Минтруд</vt:lpstr>
      <vt:lpstr>Загс полном</vt:lpstr>
      <vt:lpstr>Загс конверт</vt:lpstr>
      <vt:lpstr>военкомат</vt:lpstr>
      <vt:lpstr>ЖКУ культ</vt:lpstr>
      <vt:lpstr>библ дело</vt:lpstr>
      <vt:lpstr>выезжающ!Заголовки_для_печати</vt:lpstr>
      <vt:lpstr>ДО!Заголовки_для_печати</vt:lpstr>
      <vt:lpstr>категор!Заголовки_для_печати</vt:lpstr>
      <vt:lpstr>ОО!Заголовки_для_печати</vt:lpstr>
      <vt:lpstr>Шк!Заголовки_для_печати</vt:lpstr>
      <vt:lpstr>'жилье дети-сир по найму'!Область_печати</vt:lpstr>
      <vt:lpstr>категор!Область_печати</vt:lpstr>
      <vt:lpstr>'летн отдых'!Область_печати</vt:lpstr>
      <vt:lpstr>'опека-минобр'!Область_печати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Швец Элина Александровна</cp:lastModifiedBy>
  <cp:lastPrinted>2018-11-29T08:21:23Z</cp:lastPrinted>
  <dcterms:created xsi:type="dcterms:W3CDTF">2002-04-21T04:23:27Z</dcterms:created>
  <dcterms:modified xsi:type="dcterms:W3CDTF">2018-11-29T08:28:22Z</dcterms:modified>
</cp:coreProperties>
</file>